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52" windowHeight="6972" firstSheet="4" activeTab="6"/>
  </bookViews>
  <sheets>
    <sheet name="Приложение 1" sheetId="1" r:id="rId1"/>
    <sheet name="Приложение 2" sheetId="2" r:id="rId2"/>
    <sheet name="Приложение 3" sheetId="3" r:id="rId3"/>
    <sheet name="Прил№1(сессия)" sheetId="4" r:id="rId4"/>
    <sheet name="Прил№2(сессия)" sheetId="5" r:id="rId5"/>
    <sheet name="Прил№3(сессия)" sheetId="6" r:id="rId6"/>
    <sheet name="Прил№4(сессия)" sheetId="7" r:id="rId7"/>
  </sheets>
  <definedNames>
    <definedName name="_xlnm.Print_Titles" localSheetId="0">'Приложение 1'!$11:$11</definedName>
    <definedName name="_xlnm.Print_Titles" localSheetId="1">'Приложение 2'!$12:$12</definedName>
    <definedName name="_xlnm.Print_Titles" localSheetId="2">'Приложение 3'!$14:$14</definedName>
    <definedName name="_xlnm.Print_Area" localSheetId="5">'Прил№3(сессия)'!$A$1:$K$95</definedName>
    <definedName name="_xlnm.Print_Area" localSheetId="0">'Приложение 1'!$A$1:$F$57</definedName>
    <definedName name="_xlnm.Print_Area" localSheetId="1">'Приложение 2'!$A:$IV</definedName>
    <definedName name="_xlnm.Print_Area" localSheetId="2">'Приложение 3'!$A:$IV</definedName>
  </definedNames>
  <calcPr fullCalcOnLoad="1"/>
</workbook>
</file>

<file path=xl/sharedStrings.xml><?xml version="1.0" encoding="utf-8"?>
<sst xmlns="http://schemas.openxmlformats.org/spreadsheetml/2006/main" count="813" uniqueCount="319">
  <si>
    <t>тыс.гривен</t>
  </si>
  <si>
    <t>КФКР</t>
  </si>
  <si>
    <t xml:space="preserve">                Расходы общего фонда</t>
  </si>
  <si>
    <t>Расходы бюджета по функциональной структуре</t>
  </si>
  <si>
    <t>Всего</t>
  </si>
  <si>
    <t>010000</t>
  </si>
  <si>
    <t>010116</t>
  </si>
  <si>
    <t>Органы местного самоуправления</t>
  </si>
  <si>
    <t>060000</t>
  </si>
  <si>
    <t>060100</t>
  </si>
  <si>
    <t>Органы внутренних дел</t>
  </si>
  <si>
    <t>060103</t>
  </si>
  <si>
    <t>Подразделения дорожно-патрульной службы и дорожного надзора</t>
  </si>
  <si>
    <t>060700</t>
  </si>
  <si>
    <t>Пожарная охрана</t>
  </si>
  <si>
    <t>060702</t>
  </si>
  <si>
    <t>Профессионально-пожарная охрана</t>
  </si>
  <si>
    <t>061000</t>
  </si>
  <si>
    <t>Прочие правоохранительные органы</t>
  </si>
  <si>
    <t>061002</t>
  </si>
  <si>
    <t>Специализированные монтажно-эксплуатационные подразделения</t>
  </si>
  <si>
    <t>061003</t>
  </si>
  <si>
    <t>Адресно-справочные бюро</t>
  </si>
  <si>
    <t>061007</t>
  </si>
  <si>
    <t>070000</t>
  </si>
  <si>
    <t>080000</t>
  </si>
  <si>
    <t>090000</t>
  </si>
  <si>
    <t>090400</t>
  </si>
  <si>
    <t>Другие виды социальной помощи</t>
  </si>
  <si>
    <t>090401</t>
  </si>
  <si>
    <t xml:space="preserve">Адресная социальная помощь малообеспеченным семьям </t>
  </si>
  <si>
    <t>090412</t>
  </si>
  <si>
    <t>Другие расходы</t>
  </si>
  <si>
    <t>090413</t>
  </si>
  <si>
    <t>090600</t>
  </si>
  <si>
    <t>Молодежные программы</t>
  </si>
  <si>
    <t>091209</t>
  </si>
  <si>
    <t>Финансовая поддержка общественных организаций инвалидов и ветеранов</t>
  </si>
  <si>
    <t>091210</t>
  </si>
  <si>
    <t>091212</t>
  </si>
  <si>
    <t>Центры по начислению и выплате пенсий</t>
  </si>
  <si>
    <t>Жилищно-експлуатационное хозяйство (программа)</t>
  </si>
  <si>
    <t>Водопроводно-канализационное хозяйство (программа)</t>
  </si>
  <si>
    <t>Благоустройство городов</t>
  </si>
  <si>
    <t>Искусство</t>
  </si>
  <si>
    <t>110200   110500</t>
  </si>
  <si>
    <t>Кинематография</t>
  </si>
  <si>
    <t>Пресса</t>
  </si>
  <si>
    <t>Книгоиздательство</t>
  </si>
  <si>
    <t>Строительство</t>
  </si>
  <si>
    <t>Строительство и приобретение жилья для военнослужащих</t>
  </si>
  <si>
    <t>Автомобильный транспорт</t>
  </si>
  <si>
    <t>Местный автомобильный транспорт</t>
  </si>
  <si>
    <t>Другие виды транспорта</t>
  </si>
  <si>
    <t>Городской  электротранспорт</t>
  </si>
  <si>
    <t>Дорожное хозяйство</t>
  </si>
  <si>
    <t>Расходы на финансирование работ, связанных со строительством, реконструкцией, ремонтом и  содержанием автомобильных дорог общего пользования</t>
  </si>
  <si>
    <t>Целевые фонды созданные органами местного самоуправления и местными органами исполнительной власти</t>
  </si>
  <si>
    <t>25. Расходы, не отнесенные к основным  группам</t>
  </si>
  <si>
    <t>Резервный фонд</t>
  </si>
  <si>
    <t>И Т О Г О   Р А С Х О Д О В:</t>
  </si>
  <si>
    <t>В С Е Г О   Р А С Х О Д О В: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</si>
  <si>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</si>
  <si>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</si>
  <si>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Донецкий областной совет</t>
  </si>
  <si>
    <t>Главное управление образования и науки</t>
  </si>
  <si>
    <t>Детско-юношеская спортивная школа областного управления образования</t>
  </si>
  <si>
    <t>Училище олимпийского резерва</t>
  </si>
  <si>
    <t>Центр повышения квалификации государственных служащих и руководителей госпредприятий</t>
  </si>
  <si>
    <t xml:space="preserve">Управление здравоохранения </t>
  </si>
  <si>
    <t>Лечебно-профилактические учреждения</t>
  </si>
  <si>
    <t>Реализация государственных программ</t>
  </si>
  <si>
    <t xml:space="preserve">Высшие учреждения образования І-ІІ уровня аккредитации; прочие учреждения и мероприятия последипломного образования </t>
  </si>
  <si>
    <t>Библиотеки</t>
  </si>
  <si>
    <t>Главное управление по труду и социальной защите населения</t>
  </si>
  <si>
    <t>Управление по делам семьи, молодежи и туризма</t>
  </si>
  <si>
    <t xml:space="preserve">Управление культуры облгосадминистрации </t>
  </si>
  <si>
    <t>110102     110103</t>
  </si>
  <si>
    <t>110200  110500</t>
  </si>
  <si>
    <t>Высшие учреждения образования І-ІІ уровня аккредитации; прочие учреждения и мероприятия последипломного образования; централизованная бухгалтерия</t>
  </si>
  <si>
    <t>Донецкое областное производ-ственное объединение "Киновидеопрокат"</t>
  </si>
  <si>
    <t xml:space="preserve">Управление по делам прессы и информации </t>
  </si>
  <si>
    <t xml:space="preserve">Редакционная группа "Реаби-литированные историей" </t>
  </si>
  <si>
    <t xml:space="preserve">Управление по вопросам физической культуры и спорта </t>
  </si>
  <si>
    <t xml:space="preserve">Управление жилищно-коммунального хозяйства </t>
  </si>
  <si>
    <t>Финансирование дорожного хозяйства по отдельному распоряжению председателя облгосадминистрации</t>
  </si>
  <si>
    <t>Главное финансовое управление</t>
  </si>
  <si>
    <t>другие расходы</t>
  </si>
  <si>
    <t>оплата труда (код 1110)</t>
  </si>
  <si>
    <t>оплата коммунальных услуг и энергонос. (код 1160)</t>
  </si>
  <si>
    <t xml:space="preserve">в том числе </t>
  </si>
  <si>
    <t>Расходы специального фонда</t>
  </si>
  <si>
    <t>ИТОГО</t>
  </si>
  <si>
    <t>Готельное хозяйство</t>
  </si>
  <si>
    <t>в т.ч. гостиница "Киев"</t>
  </si>
  <si>
    <t>Периодические издания (газеты и журналы)</t>
  </si>
  <si>
    <t>Издательства</t>
  </si>
  <si>
    <t>090403</t>
  </si>
  <si>
    <t>Компенсационные выплаты реабилитированным гражданам</t>
  </si>
  <si>
    <t>091100 091211</t>
  </si>
  <si>
    <t>091101 091102</t>
  </si>
  <si>
    <t>Культура                                               Прочие мероприятия и учреждения в отрасли искусства и культуры</t>
  </si>
  <si>
    <t xml:space="preserve">Субвенция бюджетам городов и районов на содержание приютов для несовершеннолетних </t>
  </si>
  <si>
    <t>Дополнителоьная дотация выравнивания бюджетам городов областного значения и районам области</t>
  </si>
  <si>
    <t>Приложение 2</t>
  </si>
  <si>
    <t>Подготовка материалов к своду "Памятники истории и археологии"</t>
  </si>
  <si>
    <t>Подготовка материалов к издательству 3,4 томов книги "Памяти фронтовиков"</t>
  </si>
  <si>
    <t>в т.ч. содержание программ и мероприятия социальних служб для молодежи</t>
  </si>
  <si>
    <t>Архитектура</t>
  </si>
  <si>
    <t xml:space="preserve">Строительство согласно распоряжения председателя облгосадминистрации </t>
  </si>
  <si>
    <t>в том числе</t>
  </si>
  <si>
    <t>бюджет развития</t>
  </si>
  <si>
    <t>Расходы за счет субвенции из государственного бюджета</t>
  </si>
  <si>
    <t>Правоохранительная деятельность и обеспечение безопасности государства</t>
  </si>
  <si>
    <t>к решению областного совета</t>
  </si>
  <si>
    <t xml:space="preserve">Другие правоохранительные органы. Программа "Правопорядок" </t>
  </si>
  <si>
    <t>Гоcтиничное хозяйство</t>
  </si>
  <si>
    <t>Другие правоохранительные мероприятия и учреждения</t>
  </si>
  <si>
    <t>Программа стабилизации и социально-экономического развития территорий</t>
  </si>
  <si>
    <t>Государственное управление</t>
  </si>
  <si>
    <t>Образование</t>
  </si>
  <si>
    <t>Здравоохранение</t>
  </si>
  <si>
    <t>Социальная защита и социальное обеспечение</t>
  </si>
  <si>
    <t>Жилищно-коммунальное хозяйство</t>
  </si>
  <si>
    <t>Культура и искусство</t>
  </si>
  <si>
    <t>Средства массовой информации</t>
  </si>
  <si>
    <t>Физкультура и спорт</t>
  </si>
  <si>
    <t>Транспорт, дорожное хозяйство, связь, телекоммуникации и информатика</t>
  </si>
  <si>
    <t>Предупреждение и ликвидация чрезвычайных ситуаций и последствий стихийного бедствия</t>
  </si>
  <si>
    <t>Обслуживание долга</t>
  </si>
  <si>
    <t>Охрана и рациональное использование природных ресурсов</t>
  </si>
  <si>
    <t>Утилизация отходов</t>
  </si>
  <si>
    <t>Ликвидация проченго загрязнения окружающей природной среды</t>
  </si>
  <si>
    <t>Другая деятельность в сфере окружающей природной среды</t>
  </si>
  <si>
    <t>Средства, передаваемые из общего фонда бюджета в бюджет развития</t>
  </si>
  <si>
    <t>Средства, передаваемые в Государственный бюджет</t>
  </si>
  <si>
    <t>Приложение 1</t>
  </si>
  <si>
    <t>от                      №</t>
  </si>
  <si>
    <t>Доходы областного бюджета на 2003 год</t>
  </si>
  <si>
    <t>(тыс.грн.)</t>
  </si>
  <si>
    <t>Код</t>
  </si>
  <si>
    <t xml:space="preserve">              Специальный фонд</t>
  </si>
  <si>
    <t>Наименование доходов в соответствии с  бюджетной классификацией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</si>
  <si>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</si>
  <si>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</si>
  <si>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</si>
  <si>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</si>
  <si>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</si>
  <si>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Подоходный налог с граждан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</si>
  <si>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</si>
  <si>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</si>
  <si>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</si>
  <si>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</si>
  <si>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</si>
  <si>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</si>
  <si>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</si>
  <si>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</si>
  <si>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деятельности, объединений граждан, ассоциаций, других добровольных объединений  органов местного  самоуправления, уставов территориальных общин, творческих объединений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</si>
  <si>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</si>
  <si>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</si>
  <si>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</si>
  <si>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</si>
  <si>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Доходи от собственности и предпринимательской деятельности</t>
  </si>
  <si>
    <t xml:space="preserve"> Поступления от размещения  в учреждениях банков временно свободных остатков бюджетных  средств </t>
  </si>
  <si>
    <t>Административные сборы и платежи, доходы от некоммерческой  и побочной продажи</t>
  </si>
  <si>
    <t xml:space="preserve"> Плата за аренду целостных имущественных комплексов коммунального  и другого имущества </t>
  </si>
  <si>
    <t>Поступления от штрафов и финансовых санкций</t>
  </si>
  <si>
    <t>Административные штрафы и другие санкции</t>
  </si>
  <si>
    <t>Другие неналоговые поступления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</si>
  <si>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</si>
  <si>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</si>
  <si>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</si>
  <si>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</si>
  <si>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Целевые фонды</t>
  </si>
  <si>
    <t>Сбор за загрязнение окружающей природной среды</t>
  </si>
  <si>
    <t xml:space="preserve">Целевые фонды созданные Верховным Советом Автономной Республики Крым, органами местного самоуправления и местными органами исполнительной власти </t>
  </si>
  <si>
    <t>Итого доходов</t>
  </si>
  <si>
    <t>Официальные трансферты</t>
  </si>
  <si>
    <t>Субвенции</t>
  </si>
  <si>
    <t>От правительств зарубежных стран  и международных организаций</t>
  </si>
  <si>
    <t xml:space="preserve">Гранты (подарки), которые поступили в бюджеты всех уровней </t>
  </si>
  <si>
    <t>Средства, полученные из общего  фонда бюджета   в бюджет развития (специального фонда)</t>
  </si>
  <si>
    <t>Всего доходов</t>
  </si>
  <si>
    <t>Расходы областного бюджета на 2003 год</t>
  </si>
  <si>
    <t>по функциональной структуре</t>
  </si>
  <si>
    <t xml:space="preserve"> </t>
  </si>
  <si>
    <t>Приложение 3</t>
  </si>
  <si>
    <t xml:space="preserve">от __________№___________                </t>
  </si>
  <si>
    <t xml:space="preserve">от________________№ _______                    </t>
  </si>
  <si>
    <t>Другие мероприятия, связанные с экономической деятельностью</t>
  </si>
  <si>
    <t>в т.ч. реконструкция травматологической больницы</t>
  </si>
  <si>
    <t>региональные программы и централизованные мероприятия</t>
  </si>
  <si>
    <t>региональные прог-раммы и централизованные мероприя-тия</t>
  </si>
  <si>
    <t>из него региональные программы</t>
  </si>
  <si>
    <t>Фонд охраны окружающей природной среды</t>
  </si>
  <si>
    <t>Проведение выборов депутатов местных советов</t>
  </si>
  <si>
    <t>Поступление средств  возмещения потерь сельскохозяйственного и лесохозяйственного производства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</si>
  <si>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</si>
  <si>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Субвенция на выполнение инвестиционных проектов</t>
  </si>
  <si>
    <t>Субвенция из государственного бюджета на выполнение программ по соцзащите</t>
  </si>
  <si>
    <t>41030600  41030700  41030800  41030900  41031000    41032000</t>
  </si>
  <si>
    <t xml:space="preserve">Дополнительная дотация из государственного бюджета </t>
  </si>
  <si>
    <t>Дома-интернаты для малолетних инвалидов, дома-интернаты для престарелых и инвалидов, служба технадзора</t>
  </si>
  <si>
    <t>090600 090900  091210</t>
  </si>
  <si>
    <t>090416</t>
  </si>
  <si>
    <t xml:space="preserve">Прочие расходы на соцзащиту ветеранов войны и труда </t>
  </si>
  <si>
    <t>090700</t>
  </si>
  <si>
    <t>Приюты для несовершеннолетних</t>
  </si>
  <si>
    <t>Субвенция на выполнение собственных полномочий</t>
  </si>
  <si>
    <t>Помощь по уходу за инвалидами I и II группы в следствие психзаболевания</t>
  </si>
  <si>
    <t>Телевидение и радиовещание</t>
  </si>
  <si>
    <t xml:space="preserve">Прочие расходы  </t>
  </si>
  <si>
    <t xml:space="preserve">              Распределение расходов областного бюджета на 2003 год</t>
  </si>
  <si>
    <t>Стипендии одаренным студентам III и IV уровней аккредитации</t>
  </si>
  <si>
    <t>Прочие расходы</t>
  </si>
  <si>
    <t>Стипендии одаренным учащимся, студентам и аспирантам</t>
  </si>
  <si>
    <t>Региональные программы и совместные мероприятия</t>
  </si>
  <si>
    <t xml:space="preserve">Служба по делам несовершеннолетних </t>
  </si>
  <si>
    <t xml:space="preserve">Театры, филармонии, музыкальные коллективы и ансамбли и прочие мероприятия и учреждения по исскуству  </t>
  </si>
  <si>
    <t xml:space="preserve">Культура                                         Прочие мероприятия и учреждения в области исскуства и культуры  </t>
  </si>
  <si>
    <t>Стипендии одаренным учащимся и студентам</t>
  </si>
  <si>
    <t>Учреждения физкультуры и спорта, проведение учебно-тренировочных сборов и соревнований</t>
  </si>
  <si>
    <t>Приобретение путевок для проведения оздоровления детей-учащихся спортшкол</t>
  </si>
  <si>
    <t>Управление по вопросам чрезвычайных ситуаций и по делам защиты от последствий Чернобыльской катастрофы</t>
  </si>
  <si>
    <t>__________________________</t>
  </si>
  <si>
    <t>070602</t>
  </si>
  <si>
    <t>070701</t>
  </si>
  <si>
    <t>090600 090900 091200</t>
  </si>
  <si>
    <t>091100 091211 110502</t>
  </si>
  <si>
    <t xml:space="preserve">Объединение капстроительства </t>
  </si>
  <si>
    <t>070401</t>
  </si>
  <si>
    <t>Облгосадминистрация</t>
  </si>
  <si>
    <t>180109</t>
  </si>
  <si>
    <t>240600</t>
  </si>
  <si>
    <t>Фонд окружающей природной среды</t>
  </si>
  <si>
    <t>Общий фонд</t>
  </si>
  <si>
    <t>091100 091211 110502  070401</t>
  </si>
  <si>
    <t>Подготовка материалов к издательству 5,6,7 томов книги "Памяти фронтовиков"</t>
  </si>
  <si>
    <t>250203</t>
  </si>
  <si>
    <t>Подготовка материалов к своду "Памятники истории и культуры"</t>
  </si>
  <si>
    <t>Прочие расходы на социальную защиту ветеранов войны и труда</t>
  </si>
  <si>
    <t>Центр переподготовки и повышения квалификации государственных служащих и руководителей предприятий</t>
  </si>
  <si>
    <t>Высшие учреждения образования І-ІІ уровня аккредитации; прочие учреждения  образования</t>
  </si>
  <si>
    <t>Высшее училище олимпийского резерва</t>
  </si>
  <si>
    <t>Доходы от собственности и предпринимательской деятельности</t>
  </si>
  <si>
    <t>Дополнительная дотация выравнивания бюджетам городов областного значения и районам области</t>
  </si>
  <si>
    <t>Поддержка малого и среднего предпринимательства</t>
  </si>
  <si>
    <t xml:space="preserve">Главное управление экономики </t>
  </si>
  <si>
    <t>Донецкое областное производственное объединение "Киновидеопрокат"</t>
  </si>
  <si>
    <t xml:space="preserve">Выплаты компенсаций реабилитированным </t>
  </si>
  <si>
    <t>Прочие расходы на социальную защиту населения</t>
  </si>
  <si>
    <t>Помощь по уходу за инвалидами I или II группы вследствие психического расстройства</t>
  </si>
  <si>
    <t>090601 090901  091210</t>
  </si>
  <si>
    <t>Социальные программы и мероприятия в сфере семьи, женщин, молодежи и детей</t>
  </si>
  <si>
    <t>в т.ч. содержание, программы и мероприятия центра социальных служб для молодежи</t>
  </si>
  <si>
    <t>Центр по начислению и выплате пенсий и пособий</t>
  </si>
  <si>
    <t>Детско-юношеская спортивная школа главного  управления образования и науки</t>
  </si>
  <si>
    <t>090601 090901 091210</t>
  </si>
  <si>
    <t xml:space="preserve"> 41030700  41030900 </t>
  </si>
  <si>
    <t>Приложение №4</t>
  </si>
  <si>
    <t>от ________________№____________</t>
  </si>
  <si>
    <t>тыс.грн.</t>
  </si>
  <si>
    <t>Субвенция из госбюджета на реализацию программ социальной защиты населения на:</t>
  </si>
  <si>
    <t>выплату помощи семьям с детьми, малообеспе-ченным семьям, инвалидам с детства и детям-инвалидам</t>
  </si>
  <si>
    <t>предоставление  льгот ветеранам войны и труда, ветеранам военной службы, ветеранам органов внутренних дел и субсидий населению на оплату электроэнергии, природного газа, услуг тепло-, водоснабжения и водоотведения, квартплаты, вывоза бытового мусора и жидких нечистот</t>
  </si>
  <si>
    <t>предоставление  льгот ветеранам войны и труда, ветеранам военной службы, ветеранам органов внутренних дел и субсидий населению на приобретение твердого и жидкого печного бытового топлива и сжиженного газа</t>
  </si>
  <si>
    <t>предоставление  льгот ветеранам войны и труда,военной службы, органов внутренних дел и субсидий населению на услуги связи и другие, предусмотренные законодательством услуги (кроме льгот на получение лекарств, зубопротезирование, оплату электроэнергии, природного и сжиженного газа, твердого и жидкого печного бытового топлива, услуг тепло-, водоснабжения, водоотведения, квартирной платы, вывоза мусора и жидких нечистот) и компенсацию за льготный проезд отдельных категорий граждан, в том числе льгот на услуги связи</t>
  </si>
  <si>
    <t>предоставление льгот гражданам, которые пострадали вследствие Чернобыльской катастрофы на оплату электроэнергии, природного газа, услуг тепло-, водоснабжения и водоотведения, квартирной платы, транспортных услуг, услуг связи и на приобретение твердого и жидкого бытового топлива лицам, которые проживают в домах, не имеющих центрального отопления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</si>
  <si>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</si>
  <si>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</si>
  <si>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</si>
  <si>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</si>
  <si>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</si>
  <si>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</si>
  <si>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</si>
  <si>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</si>
  <si>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</si>
  <si>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</si>
  <si>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</si>
  <si>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</si>
  <si>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Кировск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</si>
  <si>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</si>
  <si>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</si>
  <si>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</si>
  <si>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</si>
  <si>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</si>
  <si>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</si>
  <si>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</si>
  <si>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</si>
  <si>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</si>
  <si>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</si>
  <si>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</si>
  <si>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</si>
  <si>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</si>
  <si>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</si>
  <si>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</si>
  <si>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</si>
  <si>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</si>
  <si>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</si>
  <si>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В-Новоселковский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</si>
  <si>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</si>
  <si>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</si>
  <si>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</si>
  <si>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</si>
  <si>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</si>
  <si>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</si>
  <si>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</si>
  <si>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</si>
  <si>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</si>
  <si>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</si>
  <si>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</si>
  <si>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</si>
  <si>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</si>
  <si>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Облбюджет</t>
  </si>
  <si>
    <t>Всего по области</t>
  </si>
  <si>
    <t>130000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</si>
  <si>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</si>
  <si>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>Распределение между бюджетами городов областного значения, районов области, областным бюджетом сумм субвенции из государственного бюджета, предусмотренных ст. 40 Закона Украины "О Государственном бюджете Украины на 2003 год"</t>
  </si>
  <si>
    <t>Управление по вопросам имущества коммунальной собственности облгосадминистрации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</si>
</sst>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#,##0.0"/>
  </numFmts>
  <fonts count="27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1"/>
    </font>
    <font>
      <sz val="13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 vertical="center" wrapText="1"/>
    </xf>
    <xf numFmtId="180" fontId="3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/>
    </xf>
    <xf numFmtId="18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left" wrapText="1" shrinkToFi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wrapText="1" shrinkToFit="1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 shrinkToFit="1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/>
    </xf>
    <xf numFmtId="180" fontId="8" fillId="0" borderId="1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left" wrapText="1" shrinkToFit="1"/>
    </xf>
    <xf numFmtId="0" fontId="1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 shrinkToFi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 shrinkToFit="1"/>
    </xf>
    <xf numFmtId="180" fontId="1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 shrinkToFit="1"/>
    </xf>
    <xf numFmtId="0" fontId="3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/>
    </xf>
    <xf numFmtId="180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 shrinkToFit="1"/>
    </xf>
    <xf numFmtId="180" fontId="1" fillId="0" borderId="1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180" fontId="1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vertical="center" wrapText="1" readingOrder="1"/>
    </xf>
    <xf numFmtId="180" fontId="3" fillId="0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Continuous" vertical="center" wrapText="1"/>
    </xf>
    <xf numFmtId="49" fontId="3" fillId="0" borderId="1" xfId="0" applyNumberFormat="1" applyFont="1" applyFill="1" applyBorder="1" applyAlignment="1">
      <alignment horizontal="centerContinuous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/>
    </xf>
    <xf numFmtId="0" fontId="3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180" fontId="1" fillId="0" borderId="22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180" fontId="0" fillId="0" borderId="0" xfId="0" applyNumberFormat="1" applyFill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0" fontId="9" fillId="0" borderId="1" xfId="0" applyNumberFormat="1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/>
    </xf>
    <xf numFmtId="0" fontId="4" fillId="0" borderId="2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2" fillId="2" borderId="1" xfId="0" applyFont="1" applyFill="1" applyBorder="1" applyAlignment="1">
      <alignment horizontal="left" vertical="center" wrapText="1"/>
    </xf>
    <xf numFmtId="181" fontId="23" fillId="0" borderId="1" xfId="0" applyNumberFormat="1" applyFont="1" applyFill="1" applyBorder="1" applyAlignment="1">
      <alignment horizontal="center"/>
    </xf>
    <xf numFmtId="181" fontId="23" fillId="0" borderId="1" xfId="0" applyNumberFormat="1" applyFont="1" applyBorder="1" applyAlignment="1" applyProtection="1">
      <alignment horizontal="center"/>
      <protection/>
    </xf>
    <xf numFmtId="180" fontId="24" fillId="0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181" fontId="23" fillId="0" borderId="1" xfId="0" applyNumberFormat="1" applyFont="1" applyBorder="1" applyAlignment="1">
      <alignment horizontal="center"/>
    </xf>
    <xf numFmtId="181" fontId="17" fillId="0" borderId="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1" xfId="0" applyFont="1" applyBorder="1" applyAlignment="1">
      <alignment/>
    </xf>
    <xf numFmtId="180" fontId="24" fillId="0" borderId="2" xfId="0" applyNumberFormat="1" applyFont="1" applyFill="1" applyBorder="1" applyAlignment="1">
      <alignment horizontal="center"/>
    </xf>
    <xf numFmtId="181" fontId="17" fillId="0" borderId="2" xfId="0" applyNumberFormat="1" applyFont="1" applyBorder="1" applyAlignment="1">
      <alignment horizontal="center"/>
    </xf>
    <xf numFmtId="180" fontId="23" fillId="0" borderId="1" xfId="0" applyNumberFormat="1" applyFont="1" applyBorder="1" applyAlignment="1">
      <alignment horizontal="center"/>
    </xf>
    <xf numFmtId="0" fontId="22" fillId="0" borderId="25" xfId="0" applyFont="1" applyBorder="1" applyAlignment="1">
      <alignment/>
    </xf>
    <xf numFmtId="181" fontId="23" fillId="0" borderId="19" xfId="0" applyNumberFormat="1" applyFont="1" applyFill="1" applyBorder="1" applyAlignment="1">
      <alignment horizontal="center"/>
    </xf>
    <xf numFmtId="181" fontId="23" fillId="0" borderId="19" xfId="0" applyNumberFormat="1" applyFont="1" applyBorder="1" applyAlignment="1" applyProtection="1">
      <alignment horizontal="center"/>
      <protection/>
    </xf>
    <xf numFmtId="0" fontId="24" fillId="0" borderId="26" xfId="0" applyFont="1" applyFill="1" applyBorder="1" applyAlignment="1">
      <alignment horizontal="center"/>
    </xf>
    <xf numFmtId="181" fontId="24" fillId="0" borderId="19" xfId="0" applyNumberFormat="1" applyFont="1" applyBorder="1" applyAlignment="1">
      <alignment horizontal="center"/>
    </xf>
    <xf numFmtId="181" fontId="6" fillId="0" borderId="19" xfId="0" applyNumberFormat="1" applyFont="1" applyBorder="1" applyAlignment="1">
      <alignment horizontal="center"/>
    </xf>
    <xf numFmtId="0" fontId="17" fillId="0" borderId="7" xfId="0" applyFont="1" applyBorder="1" applyAlignment="1">
      <alignment/>
    </xf>
    <xf numFmtId="181" fontId="25" fillId="0" borderId="27" xfId="0" applyNumberFormat="1" applyFont="1" applyBorder="1" applyAlignment="1">
      <alignment horizontal="center"/>
    </xf>
    <xf numFmtId="181" fontId="6" fillId="0" borderId="7" xfId="0" applyNumberFormat="1" applyFont="1" applyBorder="1" applyAlignment="1" applyProtection="1">
      <alignment horizontal="center"/>
      <protection/>
    </xf>
    <xf numFmtId="180" fontId="25" fillId="0" borderId="7" xfId="0" applyNumberFormat="1" applyFont="1" applyFill="1" applyBorder="1" applyAlignment="1">
      <alignment horizontal="center"/>
    </xf>
    <xf numFmtId="181" fontId="25" fillId="0" borderId="7" xfId="0" applyNumberFormat="1" applyFont="1" applyBorder="1" applyAlignment="1">
      <alignment horizontal="center"/>
    </xf>
    <xf numFmtId="181" fontId="6" fillId="0" borderId="28" xfId="0" applyNumberFormat="1" applyFont="1" applyFill="1" applyBorder="1" applyAlignment="1">
      <alignment horizontal="center"/>
    </xf>
    <xf numFmtId="181" fontId="6" fillId="0" borderId="7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9" fontId="21" fillId="0" borderId="19" xfId="0" applyNumberFormat="1" applyFont="1" applyFill="1" applyBorder="1" applyAlignment="1">
      <alignment horizontal="center" vertical="center" wrapText="1"/>
    </xf>
    <xf numFmtId="9" fontId="21" fillId="0" borderId="26" xfId="0" applyNumberFormat="1" applyFont="1" applyFill="1" applyBorder="1" applyAlignment="1">
      <alignment horizontal="center" vertical="center" wrapText="1"/>
    </xf>
    <xf numFmtId="9" fontId="22" fillId="0" borderId="19" xfId="0" applyNumberFormat="1" applyFont="1" applyFill="1" applyBorder="1" applyAlignment="1">
      <alignment horizontal="center" vertical="center" wrapText="1"/>
    </xf>
    <xf numFmtId="9" fontId="22" fillId="0" borderId="26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SheetLayoutView="100" workbookViewId="0" topLeftCell="A46">
      <selection activeCell="A46" sqref="A1:IV16384"/>
    </sheetView>
  </sheetViews>
  <sheetFormatPr defaultColWidth="9.00390625" defaultRowHeight="12.75"/>
  <cols>
    <col min="1" max="1" width="9.875" style="54" customWidth="1"/>
    <col min="2" max="2" width="31.00390625" style="56" customWidth="1"/>
    <col min="3" max="3" width="10.00390625" style="54" customWidth="1"/>
    <col min="4" max="4" width="16.125" style="54" customWidth="1"/>
    <col min="5" max="5" width="9.875" style="54" customWidth="1"/>
    <col min="6" max="6" width="14.625" style="54" customWidth="1"/>
    <col min="7" max="16384" width="9.125" style="54" customWidth="1"/>
  </cols>
  <sheetData>
    <row r="1" spans="2:5" ht="12.75">
      <c r="B1" s="54"/>
      <c r="E1" s="55" t="s">
        <v>136</v>
      </c>
    </row>
    <row r="2" ht="12.75">
      <c r="E2" s="55" t="s">
        <v>114</v>
      </c>
    </row>
    <row r="3" ht="14.25" customHeight="1">
      <c r="E3" s="55" t="s">
        <v>137</v>
      </c>
    </row>
    <row r="4" ht="3.75" customHeight="1" hidden="1"/>
    <row r="5" spans="3:6" ht="15" customHeight="1">
      <c r="C5" s="57" t="s">
        <v>138</v>
      </c>
      <c r="D5" s="47"/>
      <c r="E5" s="47"/>
      <c r="F5" s="47"/>
    </row>
    <row r="6" ht="12.75" customHeight="1">
      <c r="F6" s="73" t="s">
        <v>139</v>
      </c>
    </row>
    <row r="7" ht="3.75" customHeight="1" thickBot="1"/>
    <row r="8" ht="12" customHeight="1" hidden="1"/>
    <row r="9" spans="1:6" ht="13.5" thickBot="1">
      <c r="A9" s="48" t="s">
        <v>140</v>
      </c>
      <c r="B9" s="48"/>
      <c r="C9" s="196" t="s">
        <v>235</v>
      </c>
      <c r="D9" s="49" t="s">
        <v>141</v>
      </c>
      <c r="E9" s="58"/>
      <c r="F9" s="74"/>
    </row>
    <row r="10" spans="1:6" ht="39.75" thickBot="1">
      <c r="A10" s="146"/>
      <c r="B10" s="75" t="s">
        <v>142</v>
      </c>
      <c r="C10" s="197"/>
      <c r="D10" s="59" t="s">
        <v>4</v>
      </c>
      <c r="E10" s="76" t="s">
        <v>143</v>
      </c>
      <c r="F10" s="77" t="s">
        <v>4</v>
      </c>
    </row>
    <row r="11" spans="1:6" ht="13.5" thickBot="1">
      <c r="A11" s="78">
        <v>1</v>
      </c>
      <c r="B11" s="79">
        <v>2</v>
      </c>
      <c r="C11" s="80">
        <v>3</v>
      </c>
      <c r="D11" s="80">
        <v>4</v>
      </c>
      <c r="E11" s="80">
        <v>5</v>
      </c>
      <c r="F11" s="81" t="s">
        <v>144</v>
      </c>
    </row>
    <row r="12" spans="1:7" s="96" customFormat="1" ht="12.75">
      <c r="A12" s="92">
        <v>10000000</v>
      </c>
      <c r="B12" s="93" t="s">
        <v>145</v>
      </c>
      <c r="C12" s="94">
        <f>C13+C19+C21</f>
        <v>444844.89999999997</v>
      </c>
      <c r="D12" s="92">
        <f>D17+D21</f>
        <v>27817.1</v>
      </c>
      <c r="E12" s="92" t="s">
        <v>146</v>
      </c>
      <c r="F12" s="94">
        <f>C12+D12</f>
        <v>472661.99999999994</v>
      </c>
      <c r="G12" s="95"/>
    </row>
    <row r="13" spans="1:6" ht="39">
      <c r="A13" s="60">
        <v>11000000</v>
      </c>
      <c r="B13" s="61" t="s">
        <v>147</v>
      </c>
      <c r="C13" s="62">
        <f>C14+C15</f>
        <v>370514.89999999997</v>
      </c>
      <c r="D13" s="60" t="s">
        <v>146</v>
      </c>
      <c r="E13" s="60" t="s">
        <v>146</v>
      </c>
      <c r="F13" s="62">
        <f>F14+F15</f>
        <v>370514.89999999997</v>
      </c>
    </row>
    <row r="14" spans="1:6" ht="12.75">
      <c r="A14" s="60">
        <v>11010000</v>
      </c>
      <c r="B14" s="61" t="s">
        <v>148</v>
      </c>
      <c r="C14" s="82">
        <v>362371.6</v>
      </c>
      <c r="D14" s="60" t="s">
        <v>146</v>
      </c>
      <c r="E14" s="60" t="s">
        <v>146</v>
      </c>
      <c r="F14" s="62">
        <f>C14</f>
        <v>362371.6</v>
      </c>
    </row>
    <row r="15" spans="1:6" ht="12.75">
      <c r="A15" s="60">
        <v>11020000</v>
      </c>
      <c r="B15" s="61" t="s">
        <v>149</v>
      </c>
      <c r="C15" s="62">
        <f>C16</f>
        <v>8143.3</v>
      </c>
      <c r="D15" s="60" t="s">
        <v>146</v>
      </c>
      <c r="E15" s="60" t="s">
        <v>146</v>
      </c>
      <c r="F15" s="62">
        <f>C15</f>
        <v>8143.3</v>
      </c>
    </row>
    <row r="16" spans="1:6" ht="39">
      <c r="A16" s="60">
        <v>11020200</v>
      </c>
      <c r="B16" s="61" t="s">
        <v>150</v>
      </c>
      <c r="C16" s="65">
        <f>7500+643.3</f>
        <v>8143.3</v>
      </c>
      <c r="D16" s="60" t="s">
        <v>146</v>
      </c>
      <c r="E16" s="60" t="s">
        <v>146</v>
      </c>
      <c r="F16" s="62">
        <f>C16</f>
        <v>8143.3</v>
      </c>
    </row>
    <row r="17" spans="1:6" ht="12.75">
      <c r="A17" s="60">
        <v>12000000</v>
      </c>
      <c r="B17" s="61" t="s">
        <v>151</v>
      </c>
      <c r="C17" s="60" t="s">
        <v>146</v>
      </c>
      <c r="D17" s="60">
        <f>D18</f>
        <v>26567.1</v>
      </c>
      <c r="E17" s="60" t="s">
        <v>146</v>
      </c>
      <c r="F17" s="62">
        <f>F18</f>
        <v>26567.1</v>
      </c>
    </row>
    <row r="18" spans="1:6" ht="39">
      <c r="A18" s="60">
        <v>12020000</v>
      </c>
      <c r="B18" s="61" t="s">
        <v>152</v>
      </c>
      <c r="C18" s="62" t="s">
        <v>146</v>
      </c>
      <c r="D18" s="82">
        <v>26567.1</v>
      </c>
      <c r="E18" s="60" t="s">
        <v>146</v>
      </c>
      <c r="F18" s="62">
        <v>26567.1</v>
      </c>
    </row>
    <row r="19" spans="1:6" ht="26.25">
      <c r="A19" s="60">
        <v>13000000</v>
      </c>
      <c r="B19" s="61" t="s">
        <v>153</v>
      </c>
      <c r="C19" s="62">
        <f>C20</f>
        <v>61000</v>
      </c>
      <c r="D19" s="60" t="s">
        <v>146</v>
      </c>
      <c r="E19" s="60" t="s">
        <v>146</v>
      </c>
      <c r="F19" s="62">
        <f>F20</f>
        <v>61000</v>
      </c>
    </row>
    <row r="20" spans="1:6" ht="12.75">
      <c r="A20" s="60">
        <v>13050000</v>
      </c>
      <c r="B20" s="61" t="s">
        <v>154</v>
      </c>
      <c r="C20" s="65">
        <v>61000</v>
      </c>
      <c r="D20" s="60" t="s">
        <v>146</v>
      </c>
      <c r="E20" s="60" t="s">
        <v>146</v>
      </c>
      <c r="F20" s="62">
        <v>61000</v>
      </c>
    </row>
    <row r="21" spans="1:6" ht="26.25">
      <c r="A21" s="60">
        <v>14000000</v>
      </c>
      <c r="B21" s="61" t="s">
        <v>155</v>
      </c>
      <c r="C21" s="62">
        <f>C22+C23+C24</f>
        <v>13330</v>
      </c>
      <c r="D21" s="62">
        <f>D25</f>
        <v>1250</v>
      </c>
      <c r="E21" s="60" t="s">
        <v>146</v>
      </c>
      <c r="F21" s="62">
        <f>C21+D21</f>
        <v>14580</v>
      </c>
    </row>
    <row r="22" spans="1:6" ht="26.25">
      <c r="A22" s="60">
        <v>14060200</v>
      </c>
      <c r="B22" s="61" t="s">
        <v>156</v>
      </c>
      <c r="C22" s="65">
        <v>300</v>
      </c>
      <c r="D22" s="60" t="s">
        <v>146</v>
      </c>
      <c r="E22" s="60" t="s">
        <v>146</v>
      </c>
      <c r="F22" s="62">
        <f>C22</f>
        <v>300</v>
      </c>
    </row>
    <row r="23" spans="1:6" ht="105">
      <c r="A23" s="60">
        <v>14060300</v>
      </c>
      <c r="B23" s="61" t="s">
        <v>157</v>
      </c>
      <c r="C23" s="65">
        <v>30</v>
      </c>
      <c r="D23" s="60" t="s">
        <v>146</v>
      </c>
      <c r="E23" s="60" t="s">
        <v>146</v>
      </c>
      <c r="F23" s="62">
        <f>C23</f>
        <v>30</v>
      </c>
    </row>
    <row r="24" spans="1:6" ht="39">
      <c r="A24" s="60">
        <v>14061100</v>
      </c>
      <c r="B24" s="61" t="s">
        <v>158</v>
      </c>
      <c r="C24" s="65">
        <v>13000</v>
      </c>
      <c r="D24" s="60" t="s">
        <v>146</v>
      </c>
      <c r="E24" s="60" t="s">
        <v>146</v>
      </c>
      <c r="F24" s="62">
        <f>C24</f>
        <v>13000</v>
      </c>
    </row>
    <row r="25" spans="1:6" ht="39">
      <c r="A25" s="60">
        <v>14070000</v>
      </c>
      <c r="B25" s="61" t="s">
        <v>159</v>
      </c>
      <c r="C25" s="60" t="s">
        <v>146</v>
      </c>
      <c r="D25" s="62">
        <f>D26</f>
        <v>1250</v>
      </c>
      <c r="E25" s="60" t="s">
        <v>146</v>
      </c>
      <c r="F25" s="62">
        <f>F26</f>
        <v>1250</v>
      </c>
    </row>
    <row r="26" spans="1:6" ht="52.5">
      <c r="A26" s="60">
        <v>14071500</v>
      </c>
      <c r="B26" s="61" t="s">
        <v>160</v>
      </c>
      <c r="C26" s="62" t="s">
        <v>146</v>
      </c>
      <c r="D26" s="65">
        <v>1250</v>
      </c>
      <c r="E26" s="60" t="s">
        <v>146</v>
      </c>
      <c r="F26" s="62">
        <f>D26</f>
        <v>1250</v>
      </c>
    </row>
    <row r="27" spans="1:6" s="96" customFormat="1" ht="12.75">
      <c r="A27" s="92">
        <v>20000000</v>
      </c>
      <c r="B27" s="93" t="s">
        <v>161</v>
      </c>
      <c r="C27" s="94">
        <f>C28+C31+C33+C36</f>
        <v>2476.3</v>
      </c>
      <c r="D27" s="94">
        <f>D30+D36</f>
        <v>13391.1</v>
      </c>
      <c r="E27" s="92" t="s">
        <v>146</v>
      </c>
      <c r="F27" s="94">
        <f>C27+D27</f>
        <v>15867.400000000001</v>
      </c>
    </row>
    <row r="28" spans="1:6" ht="26.25">
      <c r="A28" s="60">
        <v>21000000</v>
      </c>
      <c r="B28" s="61" t="s">
        <v>162</v>
      </c>
      <c r="C28" s="62">
        <f>C29</f>
        <v>1500</v>
      </c>
      <c r="D28" s="60" t="s">
        <v>146</v>
      </c>
      <c r="E28" s="60" t="s">
        <v>146</v>
      </c>
      <c r="F28" s="62">
        <f>C28</f>
        <v>1500</v>
      </c>
    </row>
    <row r="29" spans="1:6" ht="52.5">
      <c r="A29" s="60">
        <v>21040000</v>
      </c>
      <c r="B29" s="61" t="s">
        <v>163</v>
      </c>
      <c r="C29" s="62">
        <v>1500</v>
      </c>
      <c r="D29" s="60" t="s">
        <v>146</v>
      </c>
      <c r="E29" s="60" t="s">
        <v>146</v>
      </c>
      <c r="F29" s="62">
        <f>C29</f>
        <v>1500</v>
      </c>
    </row>
    <row r="30" spans="1:6" ht="39">
      <c r="A30" s="60">
        <v>21110000</v>
      </c>
      <c r="B30" s="61" t="s">
        <v>196</v>
      </c>
      <c r="C30" s="62" t="s">
        <v>146</v>
      </c>
      <c r="D30" s="62">
        <v>742.9</v>
      </c>
      <c r="E30" s="60" t="s">
        <v>146</v>
      </c>
      <c r="F30" s="62">
        <f>D30</f>
        <v>742.9</v>
      </c>
    </row>
    <row r="31" spans="1:6" ht="39">
      <c r="A31" s="60">
        <v>22000000</v>
      </c>
      <c r="B31" s="61" t="s">
        <v>164</v>
      </c>
      <c r="C31" s="62">
        <f>C32</f>
        <v>750.3</v>
      </c>
      <c r="D31" s="60" t="s">
        <v>146</v>
      </c>
      <c r="E31" s="60" t="s">
        <v>146</v>
      </c>
      <c r="F31" s="62">
        <f>C31</f>
        <v>750.3</v>
      </c>
    </row>
    <row r="32" spans="1:6" ht="38.25" customHeight="1">
      <c r="A32" s="60">
        <v>22080000</v>
      </c>
      <c r="B32" s="63" t="s">
        <v>165</v>
      </c>
      <c r="C32" s="65">
        <v>750.3</v>
      </c>
      <c r="D32" s="60" t="s">
        <v>146</v>
      </c>
      <c r="E32" s="60" t="s">
        <v>146</v>
      </c>
      <c r="F32" s="62">
        <f>C32</f>
        <v>750.3</v>
      </c>
    </row>
    <row r="33" spans="1:6" ht="26.25">
      <c r="A33" s="60">
        <v>23000000</v>
      </c>
      <c r="B33" s="61" t="s">
        <v>166</v>
      </c>
      <c r="C33" s="62">
        <v>111</v>
      </c>
      <c r="D33" s="60" t="s">
        <v>146</v>
      </c>
      <c r="E33" s="60" t="s">
        <v>146</v>
      </c>
      <c r="F33" s="62">
        <f>C33</f>
        <v>111</v>
      </c>
    </row>
    <row r="34" spans="1:6" ht="118.5" hidden="1">
      <c r="A34" s="60">
        <v>23020000</v>
      </c>
      <c r="B34" s="61" t="s">
        <v>197</v>
      </c>
      <c r="C34" s="64" t="s">
        <v>146</v>
      </c>
      <c r="D34" s="64" t="s">
        <v>146</v>
      </c>
      <c r="E34" s="64" t="s">
        <v>146</v>
      </c>
      <c r="F34" s="64" t="s">
        <v>146</v>
      </c>
    </row>
    <row r="35" spans="1:6" ht="26.25">
      <c r="A35" s="60">
        <v>23030000</v>
      </c>
      <c r="B35" s="61" t="s">
        <v>167</v>
      </c>
      <c r="C35" s="65">
        <v>111</v>
      </c>
      <c r="D35" s="60" t="s">
        <v>146</v>
      </c>
      <c r="E35" s="60" t="s">
        <v>146</v>
      </c>
      <c r="F35" s="62">
        <f>C35</f>
        <v>111</v>
      </c>
    </row>
    <row r="36" spans="1:6" ht="12.75">
      <c r="A36" s="60">
        <v>24000000</v>
      </c>
      <c r="B36" s="61" t="s">
        <v>168</v>
      </c>
      <c r="C36" s="65">
        <f>C39</f>
        <v>115</v>
      </c>
      <c r="D36" s="60">
        <f>D40</f>
        <v>12648.2</v>
      </c>
      <c r="E36" s="60" t="s">
        <v>146</v>
      </c>
      <c r="F36" s="62">
        <f>C36+D36</f>
        <v>12763.2</v>
      </c>
    </row>
    <row r="37" spans="1:6" ht="12.75" hidden="1">
      <c r="A37" s="60"/>
      <c r="B37" s="61"/>
      <c r="C37" s="62">
        <v>0</v>
      </c>
      <c r="D37" s="60" t="s">
        <v>146</v>
      </c>
      <c r="E37" s="60" t="s">
        <v>146</v>
      </c>
      <c r="F37" s="62">
        <v>0</v>
      </c>
    </row>
    <row r="38" spans="1:6" ht="66" hidden="1">
      <c r="A38" s="60">
        <v>24030000</v>
      </c>
      <c r="B38" s="61" t="s">
        <v>169</v>
      </c>
      <c r="C38" s="64" t="s">
        <v>146</v>
      </c>
      <c r="D38" s="64" t="s">
        <v>146</v>
      </c>
      <c r="E38" s="64" t="s">
        <v>146</v>
      </c>
      <c r="F38" s="64" t="s">
        <v>146</v>
      </c>
    </row>
    <row r="39" spans="1:6" ht="12.75">
      <c r="A39" s="60">
        <v>24060300</v>
      </c>
      <c r="B39" s="61" t="s">
        <v>170</v>
      </c>
      <c r="C39" s="62">
        <v>115</v>
      </c>
      <c r="D39" s="60" t="s">
        <v>146</v>
      </c>
      <c r="E39" s="60" t="s">
        <v>146</v>
      </c>
      <c r="F39" s="62">
        <f>C39</f>
        <v>115</v>
      </c>
    </row>
    <row r="40" spans="1:6" ht="26.25">
      <c r="A40" s="60">
        <v>24120000</v>
      </c>
      <c r="B40" s="61" t="s">
        <v>171</v>
      </c>
      <c r="C40" s="62" t="s">
        <v>146</v>
      </c>
      <c r="D40" s="65">
        <v>12648.2</v>
      </c>
      <c r="E40" s="60" t="s">
        <v>146</v>
      </c>
      <c r="F40" s="62">
        <f>D40</f>
        <v>12648.2</v>
      </c>
    </row>
    <row r="41" spans="1:6" ht="66">
      <c r="A41" s="60">
        <v>31030000</v>
      </c>
      <c r="B41" s="61" t="s">
        <v>172</v>
      </c>
      <c r="C41" s="62" t="s">
        <v>146</v>
      </c>
      <c r="D41" s="82">
        <v>1452.5</v>
      </c>
      <c r="E41" s="82">
        <f>D41</f>
        <v>1452.5</v>
      </c>
      <c r="F41" s="62">
        <f>D41</f>
        <v>1452.5</v>
      </c>
    </row>
    <row r="42" spans="1:6" ht="12.75">
      <c r="A42" s="60">
        <v>50000000</v>
      </c>
      <c r="B42" s="61" t="s">
        <v>173</v>
      </c>
      <c r="C42" s="62" t="s">
        <v>146</v>
      </c>
      <c r="D42" s="60">
        <f>D43+D44</f>
        <v>25531.699999999997</v>
      </c>
      <c r="E42" s="60" t="s">
        <v>146</v>
      </c>
      <c r="F42" s="62">
        <f>D42</f>
        <v>25531.699999999997</v>
      </c>
    </row>
    <row r="43" spans="1:6" ht="26.25">
      <c r="A43" s="60">
        <v>50080000</v>
      </c>
      <c r="B43" s="61" t="s">
        <v>174</v>
      </c>
      <c r="C43" s="62" t="s">
        <v>146</v>
      </c>
      <c r="D43" s="82">
        <v>23470.6</v>
      </c>
      <c r="E43" s="62" t="s">
        <v>146</v>
      </c>
      <c r="F43" s="62">
        <f>D43</f>
        <v>23470.6</v>
      </c>
    </row>
    <row r="44" spans="1:6" ht="66" customHeight="1">
      <c r="A44" s="60">
        <v>50110000</v>
      </c>
      <c r="B44" s="61" t="s">
        <v>175</v>
      </c>
      <c r="C44" s="62" t="s">
        <v>146</v>
      </c>
      <c r="D44" s="60">
        <v>2061.1</v>
      </c>
      <c r="E44" s="62" t="s">
        <v>146</v>
      </c>
      <c r="F44" s="62">
        <f>D44</f>
        <v>2061.1</v>
      </c>
    </row>
    <row r="45" spans="1:6" s="83" customFormat="1" ht="12.75">
      <c r="A45" s="68"/>
      <c r="B45" s="52" t="s">
        <v>176</v>
      </c>
      <c r="C45" s="66">
        <f>C12+C27</f>
        <v>447321.19999999995</v>
      </c>
      <c r="D45" s="66">
        <f>D12+D27+D41+D42</f>
        <v>68192.4</v>
      </c>
      <c r="E45" s="67">
        <f>E41</f>
        <v>1452.5</v>
      </c>
      <c r="F45" s="67">
        <f>C45+D45</f>
        <v>515513.6</v>
      </c>
    </row>
    <row r="46" spans="1:6" s="83" customFormat="1" ht="12.75">
      <c r="A46" s="68"/>
      <c r="B46" s="52"/>
      <c r="C46" s="66"/>
      <c r="D46" s="66"/>
      <c r="E46" s="67"/>
      <c r="F46" s="67"/>
    </row>
    <row r="47" spans="1:6" ht="12.75">
      <c r="A47" s="68">
        <v>40000000</v>
      </c>
      <c r="B47" s="52" t="s">
        <v>177</v>
      </c>
      <c r="C47" s="67">
        <f>C48+C49+C55</f>
        <v>435044.3</v>
      </c>
      <c r="D47" s="67">
        <f>D49+D55</f>
        <v>37608.5</v>
      </c>
      <c r="E47" s="67">
        <f>E49+E55</f>
        <v>37608.5</v>
      </c>
      <c r="F47" s="67">
        <f>C47+D47</f>
        <v>472652.8</v>
      </c>
    </row>
    <row r="48" spans="1:6" ht="26.25">
      <c r="A48" s="60">
        <v>41020400</v>
      </c>
      <c r="B48" s="61" t="s">
        <v>201</v>
      </c>
      <c r="C48" s="62">
        <v>13705.5</v>
      </c>
      <c r="D48" s="60" t="s">
        <v>146</v>
      </c>
      <c r="E48" s="60" t="s">
        <v>146</v>
      </c>
      <c r="F48" s="62">
        <f>C48</f>
        <v>13705.5</v>
      </c>
    </row>
    <row r="49" spans="1:6" ht="13.5">
      <c r="A49" s="85">
        <v>41030000</v>
      </c>
      <c r="B49" s="86" t="s">
        <v>178</v>
      </c>
      <c r="C49" s="87">
        <f>C52+C53+C54</f>
        <v>421338.8</v>
      </c>
      <c r="D49" s="87">
        <f>D52+D53+D54</f>
        <v>24236.3</v>
      </c>
      <c r="E49" s="87">
        <f>E52+E53+E54</f>
        <v>24236.3</v>
      </c>
      <c r="F49" s="87">
        <f>C49+D49</f>
        <v>445575.1</v>
      </c>
    </row>
    <row r="50" spans="1:6" ht="26.25" hidden="1">
      <c r="A50" s="60">
        <v>42000000</v>
      </c>
      <c r="B50" s="61" t="s">
        <v>179</v>
      </c>
      <c r="C50" s="60" t="s">
        <v>146</v>
      </c>
      <c r="D50" s="60" t="s">
        <v>146</v>
      </c>
      <c r="E50" s="60" t="s">
        <v>146</v>
      </c>
      <c r="F50" s="62" t="e">
        <f aca="true" t="shared" si="0" ref="F50:F55">C50+D50</f>
        <v>#VALUE!</v>
      </c>
    </row>
    <row r="51" spans="1:6" ht="26.25" hidden="1">
      <c r="A51" s="60">
        <v>42020000</v>
      </c>
      <c r="B51" s="61" t="s">
        <v>180</v>
      </c>
      <c r="C51" s="60" t="s">
        <v>146</v>
      </c>
      <c r="D51" s="60" t="s">
        <v>146</v>
      </c>
      <c r="E51" s="60" t="s">
        <v>146</v>
      </c>
      <c r="F51" s="62" t="e">
        <f t="shared" si="0"/>
        <v>#VALUE!</v>
      </c>
    </row>
    <row r="52" spans="1:6" ht="26.25">
      <c r="A52" s="60">
        <v>41030400</v>
      </c>
      <c r="B52" s="61" t="s">
        <v>198</v>
      </c>
      <c r="C52" s="60"/>
      <c r="D52" s="60">
        <v>22506.3</v>
      </c>
      <c r="E52" s="60">
        <v>22506.3</v>
      </c>
      <c r="F52" s="62">
        <f t="shared" si="0"/>
        <v>22506.3</v>
      </c>
    </row>
    <row r="53" spans="1:6" ht="26.25">
      <c r="A53" s="60">
        <v>41030500</v>
      </c>
      <c r="B53" s="61" t="s">
        <v>208</v>
      </c>
      <c r="C53" s="60">
        <v>35344.3</v>
      </c>
      <c r="D53" s="60">
        <v>1730</v>
      </c>
      <c r="E53" s="60">
        <v>1730</v>
      </c>
      <c r="F53" s="62">
        <f t="shared" si="0"/>
        <v>37074.3</v>
      </c>
    </row>
    <row r="54" spans="1:6" ht="80.25" customHeight="1">
      <c r="A54" s="84" t="s">
        <v>200</v>
      </c>
      <c r="B54" s="88" t="s">
        <v>199</v>
      </c>
      <c r="C54" s="60">
        <v>385994.5</v>
      </c>
      <c r="D54" s="60"/>
      <c r="E54" s="60"/>
      <c r="F54" s="62">
        <f t="shared" si="0"/>
        <v>385994.5</v>
      </c>
    </row>
    <row r="55" spans="1:6" ht="39">
      <c r="A55" s="60">
        <v>43010000</v>
      </c>
      <c r="B55" s="61" t="s">
        <v>181</v>
      </c>
      <c r="C55" s="62"/>
      <c r="D55" s="62">
        <f>7890+5482.2</f>
        <v>13372.2</v>
      </c>
      <c r="E55" s="62">
        <f>7890+5482.2</f>
        <v>13372.2</v>
      </c>
      <c r="F55" s="62">
        <f t="shared" si="0"/>
        <v>13372.2</v>
      </c>
    </row>
    <row r="56" spans="1:6" s="83" customFormat="1" ht="12.75">
      <c r="A56" s="68"/>
      <c r="B56" s="52" t="s">
        <v>182</v>
      </c>
      <c r="C56" s="67">
        <f>C45+C47</f>
        <v>882365.5</v>
      </c>
      <c r="D56" s="67">
        <f>D45+D47</f>
        <v>105800.9</v>
      </c>
      <c r="E56" s="67">
        <f>E47+E45</f>
        <v>39061</v>
      </c>
      <c r="F56" s="67">
        <f>C56+D56</f>
        <v>988166.4</v>
      </c>
    </row>
  </sheetData>
  <mergeCells count="1">
    <mergeCell ref="C9:C10"/>
  </mergeCells>
  <printOptions horizontalCentered="1"/>
  <pageMargins left="0.5905511811023623" right="0.5905511811023623" top="0.07" bottom="0.23" header="0.02" footer="0.23"/>
  <pageSetup horizontalDpi="120" verticalDpi="120" orientation="portrait" paperSize="9" scale="90" r:id="rId1"/>
  <rowBreaks count="2" manualBreakCount="2">
    <brk id="35" max="5" man="1"/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workbookViewId="0" topLeftCell="A1">
      <selection activeCell="A1" sqref="A1:IV16384"/>
    </sheetView>
  </sheetViews>
  <sheetFormatPr defaultColWidth="9.00390625" defaultRowHeight="12.75"/>
  <cols>
    <col min="1" max="1" width="6.875" style="5" customWidth="1"/>
    <col min="2" max="2" width="29.875" style="6" customWidth="1"/>
    <col min="3" max="3" width="9.50390625" style="7" customWidth="1"/>
    <col min="4" max="4" width="9.00390625" style="7" customWidth="1"/>
    <col min="5" max="5" width="8.75390625" style="7" customWidth="1"/>
    <col min="6" max="6" width="8.625" style="7" customWidth="1"/>
    <col min="7" max="7" width="8.00390625" style="7" customWidth="1"/>
    <col min="8" max="8" width="9.625" style="7" customWidth="1"/>
    <col min="9" max="9" width="7.375" style="7" customWidth="1"/>
    <col min="10" max="10" width="6.50390625" style="7" customWidth="1"/>
    <col min="11" max="11" width="8.50390625" style="7" customWidth="1"/>
    <col min="12" max="16384" width="8.875" style="7" customWidth="1"/>
  </cols>
  <sheetData>
    <row r="1" spans="5:10" ht="12" customHeight="1">
      <c r="E1" s="208" t="s">
        <v>104</v>
      </c>
      <c r="F1" s="208"/>
      <c r="G1" s="208"/>
      <c r="H1" s="208"/>
      <c r="I1" s="8"/>
      <c r="J1" s="8"/>
    </row>
    <row r="2" spans="5:10" ht="16.5" customHeight="1">
      <c r="E2" s="9" t="s">
        <v>114</v>
      </c>
      <c r="F2" s="9"/>
      <c r="G2" s="9"/>
      <c r="H2" s="9"/>
      <c r="I2" s="9"/>
      <c r="J2" s="9"/>
    </row>
    <row r="3" spans="5:10" ht="12.75">
      <c r="E3" s="204" t="s">
        <v>188</v>
      </c>
      <c r="F3" s="204"/>
      <c r="G3" s="204"/>
      <c r="H3" s="204"/>
      <c r="I3" s="204"/>
      <c r="J3" s="50"/>
    </row>
    <row r="5" spans="2:8" ht="13.5" customHeight="1">
      <c r="B5" s="5"/>
      <c r="C5" s="51"/>
      <c r="D5" s="51"/>
      <c r="E5" s="51"/>
      <c r="F5" s="51"/>
      <c r="G5" s="51"/>
      <c r="H5" s="51"/>
    </row>
    <row r="6" spans="1:10" ht="15">
      <c r="A6" s="209" t="s">
        <v>183</v>
      </c>
      <c r="B6" s="209"/>
      <c r="C6" s="209"/>
      <c r="D6" s="209"/>
      <c r="E6" s="209"/>
      <c r="F6" s="209"/>
      <c r="G6" s="209"/>
      <c r="H6" s="209"/>
      <c r="I6" s="10"/>
      <c r="J6" s="10"/>
    </row>
    <row r="7" spans="1:12" ht="15" customHeight="1">
      <c r="A7" s="209" t="s">
        <v>184</v>
      </c>
      <c r="B7" s="209"/>
      <c r="C7" s="209"/>
      <c r="D7" s="209"/>
      <c r="E7" s="209"/>
      <c r="F7" s="209"/>
      <c r="G7" s="209"/>
      <c r="H7" s="209"/>
      <c r="I7" s="11"/>
      <c r="J7" s="11"/>
      <c r="K7" s="12"/>
      <c r="L7" s="12"/>
    </row>
    <row r="8" spans="6:12" ht="13.5" thickBot="1">
      <c r="F8" s="13"/>
      <c r="G8" s="13"/>
      <c r="H8" s="14" t="s">
        <v>0</v>
      </c>
      <c r="I8" s="15"/>
      <c r="J8" s="15"/>
      <c r="K8" s="12"/>
      <c r="L8" s="12"/>
    </row>
    <row r="9" spans="1:12" ht="25.5" customHeight="1" thickBot="1">
      <c r="A9" s="210" t="s">
        <v>1</v>
      </c>
      <c r="B9" s="205" t="s">
        <v>3</v>
      </c>
      <c r="C9" s="214" t="s">
        <v>2</v>
      </c>
      <c r="D9" s="215"/>
      <c r="E9" s="215"/>
      <c r="F9" s="215"/>
      <c r="G9" s="216"/>
      <c r="H9" s="198" t="s">
        <v>91</v>
      </c>
      <c r="I9" s="199"/>
      <c r="J9" s="200"/>
      <c r="K9" s="205" t="s">
        <v>92</v>
      </c>
      <c r="L9" s="16"/>
    </row>
    <row r="10" spans="1:12" ht="24" customHeight="1" thickBot="1">
      <c r="A10" s="211"/>
      <c r="B10" s="206"/>
      <c r="C10" s="213" t="s">
        <v>4</v>
      </c>
      <c r="D10" s="213" t="s">
        <v>90</v>
      </c>
      <c r="E10" s="217"/>
      <c r="F10" s="217"/>
      <c r="G10" s="195"/>
      <c r="H10" s="203" t="s">
        <v>4</v>
      </c>
      <c r="I10" s="70" t="s">
        <v>110</v>
      </c>
      <c r="J10" s="201" t="s">
        <v>193</v>
      </c>
      <c r="K10" s="206"/>
      <c r="L10" s="16"/>
    </row>
    <row r="11" spans="1:12" ht="98.25" customHeight="1" thickBot="1">
      <c r="A11" s="212"/>
      <c r="B11" s="206"/>
      <c r="C11" s="203"/>
      <c r="D11" s="71" t="s">
        <v>88</v>
      </c>
      <c r="E11" s="69" t="s">
        <v>89</v>
      </c>
      <c r="F11" s="69" t="s">
        <v>87</v>
      </c>
      <c r="G11" s="69" t="s">
        <v>192</v>
      </c>
      <c r="H11" s="203"/>
      <c r="I11" s="69" t="s">
        <v>111</v>
      </c>
      <c r="J11" s="202"/>
      <c r="K11" s="207"/>
      <c r="L11" s="16"/>
    </row>
    <row r="12" spans="1:12" ht="13.5" thickBot="1">
      <c r="A12" s="89">
        <v>1</v>
      </c>
      <c r="B12" s="89">
        <v>2</v>
      </c>
      <c r="C12" s="90">
        <v>3</v>
      </c>
      <c r="D12" s="90">
        <v>4</v>
      </c>
      <c r="E12" s="90">
        <v>5</v>
      </c>
      <c r="F12" s="90">
        <v>6</v>
      </c>
      <c r="G12" s="90">
        <v>7</v>
      </c>
      <c r="H12" s="90">
        <v>8</v>
      </c>
      <c r="I12" s="90">
        <v>9</v>
      </c>
      <c r="J12" s="90">
        <v>10</v>
      </c>
      <c r="K12" s="90">
        <v>11</v>
      </c>
      <c r="L12" s="12"/>
    </row>
    <row r="13" spans="1:12" s="20" customFormat="1" ht="26.25">
      <c r="A13" s="17" t="s">
        <v>5</v>
      </c>
      <c r="B13" s="18" t="s">
        <v>119</v>
      </c>
      <c r="C13" s="2">
        <f>D13+E13+F13</f>
        <v>5813</v>
      </c>
      <c r="D13" s="2">
        <f>D14</f>
        <v>394.5</v>
      </c>
      <c r="E13" s="2">
        <f>E14</f>
        <v>787.4</v>
      </c>
      <c r="F13" s="2">
        <f>F14</f>
        <v>4631.1</v>
      </c>
      <c r="G13" s="2"/>
      <c r="H13" s="2">
        <f>H14</f>
        <v>0</v>
      </c>
      <c r="I13" s="2"/>
      <c r="J13" s="2"/>
      <c r="K13" s="2">
        <f>C13+H13</f>
        <v>5813</v>
      </c>
      <c r="L13" s="19"/>
    </row>
    <row r="14" spans="1:13" ht="26.25">
      <c r="A14" s="21" t="s">
        <v>6</v>
      </c>
      <c r="B14" s="22" t="s">
        <v>7</v>
      </c>
      <c r="C14" s="23">
        <f aca="true" t="shared" si="0" ref="C14:C72">D14+E14+F14</f>
        <v>5813</v>
      </c>
      <c r="D14" s="23">
        <v>394.5</v>
      </c>
      <c r="E14" s="23">
        <v>787.4</v>
      </c>
      <c r="F14" s="23">
        <v>4631.1</v>
      </c>
      <c r="G14" s="23"/>
      <c r="H14" s="23"/>
      <c r="I14" s="23"/>
      <c r="J14" s="23"/>
      <c r="K14" s="23">
        <f aca="true" t="shared" si="1" ref="K14:K72">C14+H14</f>
        <v>5813</v>
      </c>
      <c r="L14" s="12"/>
      <c r="M14" s="20"/>
    </row>
    <row r="15" spans="1:13" ht="25.5" customHeight="1">
      <c r="A15" s="24" t="s">
        <v>8</v>
      </c>
      <c r="B15" s="25" t="s">
        <v>113</v>
      </c>
      <c r="C15" s="2">
        <f>D15+E15+F15+G15</f>
        <v>8114.7</v>
      </c>
      <c r="D15" s="2">
        <f>SUM(D17:D23)</f>
        <v>0</v>
      </c>
      <c r="E15" s="2">
        <f>SUM(E17:E23)</f>
        <v>0</v>
      </c>
      <c r="F15" s="2">
        <f>SUM(F17:F23)</f>
        <v>5080</v>
      </c>
      <c r="G15" s="2">
        <v>3034.7</v>
      </c>
      <c r="H15" s="2">
        <f>SUM(H17:H23)</f>
        <v>0</v>
      </c>
      <c r="I15" s="2"/>
      <c r="J15" s="2"/>
      <c r="K15" s="2">
        <f t="shared" si="1"/>
        <v>8114.7</v>
      </c>
      <c r="L15" s="12"/>
      <c r="M15" s="20"/>
    </row>
    <row r="16" spans="1:13" ht="26.25" hidden="1">
      <c r="A16" s="24" t="s">
        <v>9</v>
      </c>
      <c r="B16" s="25" t="s">
        <v>10</v>
      </c>
      <c r="C16" s="23">
        <f>D16+E16+F16+G16</f>
        <v>0</v>
      </c>
      <c r="D16" s="2">
        <f>SUM(D17:D23)</f>
        <v>0</v>
      </c>
      <c r="E16" s="2">
        <f>SUM(E17:E23)</f>
        <v>0</v>
      </c>
      <c r="F16" s="2"/>
      <c r="G16" s="2"/>
      <c r="H16" s="2">
        <f>H17</f>
        <v>0</v>
      </c>
      <c r="I16" s="2"/>
      <c r="J16" s="2"/>
      <c r="K16" s="23">
        <f t="shared" si="1"/>
        <v>0</v>
      </c>
      <c r="L16" s="12"/>
      <c r="M16" s="20"/>
    </row>
    <row r="17" spans="1:13" ht="24" customHeight="1" hidden="1">
      <c r="A17" s="21" t="s">
        <v>11</v>
      </c>
      <c r="B17" s="22" t="s">
        <v>12</v>
      </c>
      <c r="C17" s="23">
        <f>D17+E17+F17+G17</f>
        <v>0</v>
      </c>
      <c r="D17" s="2"/>
      <c r="E17" s="2"/>
      <c r="F17" s="2"/>
      <c r="G17" s="2"/>
      <c r="H17" s="2"/>
      <c r="I17" s="2"/>
      <c r="J17" s="2"/>
      <c r="K17" s="23">
        <f t="shared" si="1"/>
        <v>0</v>
      </c>
      <c r="L17" s="12"/>
      <c r="M17" s="20"/>
    </row>
    <row r="18" spans="1:13" ht="26.25" hidden="1">
      <c r="A18" s="21" t="s">
        <v>13</v>
      </c>
      <c r="B18" s="22" t="s">
        <v>14</v>
      </c>
      <c r="C18" s="23">
        <f t="shared" si="0"/>
        <v>0</v>
      </c>
      <c r="D18" s="23"/>
      <c r="E18" s="23"/>
      <c r="F18" s="23"/>
      <c r="G18" s="23"/>
      <c r="H18" s="23"/>
      <c r="I18" s="23"/>
      <c r="J18" s="23"/>
      <c r="K18" s="23">
        <f t="shared" si="1"/>
        <v>0</v>
      </c>
      <c r="L18" s="12"/>
      <c r="M18" s="20"/>
    </row>
    <row r="19" spans="1:13" ht="25.5" customHeight="1">
      <c r="A19" s="21" t="s">
        <v>15</v>
      </c>
      <c r="B19" s="26" t="s">
        <v>16</v>
      </c>
      <c r="C19" s="23">
        <f t="shared" si="0"/>
        <v>800</v>
      </c>
      <c r="D19" s="23"/>
      <c r="E19" s="23"/>
      <c r="F19" s="23">
        <v>800</v>
      </c>
      <c r="G19" s="23"/>
      <c r="H19" s="23"/>
      <c r="I19" s="23"/>
      <c r="J19" s="23"/>
      <c r="K19" s="23">
        <f t="shared" si="1"/>
        <v>800</v>
      </c>
      <c r="L19" s="12"/>
      <c r="M19" s="20"/>
    </row>
    <row r="20" spans="1:13" ht="15" customHeight="1" hidden="1">
      <c r="A20" s="21" t="s">
        <v>17</v>
      </c>
      <c r="B20" s="26" t="s">
        <v>18</v>
      </c>
      <c r="C20" s="23">
        <f t="shared" si="0"/>
        <v>0</v>
      </c>
      <c r="D20" s="23"/>
      <c r="E20" s="23"/>
      <c r="F20" s="23"/>
      <c r="G20" s="23"/>
      <c r="H20" s="23">
        <f>H21+H22+H23</f>
        <v>0</v>
      </c>
      <c r="I20" s="23"/>
      <c r="J20" s="23"/>
      <c r="K20" s="23">
        <f t="shared" si="1"/>
        <v>0</v>
      </c>
      <c r="L20" s="12"/>
      <c r="M20" s="20"/>
    </row>
    <row r="21" spans="1:13" ht="26.25" hidden="1">
      <c r="A21" s="21" t="s">
        <v>19</v>
      </c>
      <c r="B21" s="22" t="s">
        <v>20</v>
      </c>
      <c r="C21" s="23">
        <f t="shared" si="0"/>
        <v>0</v>
      </c>
      <c r="D21" s="23"/>
      <c r="E21" s="23"/>
      <c r="F21" s="23"/>
      <c r="G21" s="23"/>
      <c r="H21" s="23"/>
      <c r="I21" s="23"/>
      <c r="J21" s="23"/>
      <c r="K21" s="23">
        <f t="shared" si="1"/>
        <v>0</v>
      </c>
      <c r="L21" s="12"/>
      <c r="M21" s="20"/>
    </row>
    <row r="22" spans="1:13" ht="12.75" customHeight="1" hidden="1">
      <c r="A22" s="21" t="s">
        <v>21</v>
      </c>
      <c r="B22" s="22" t="s">
        <v>22</v>
      </c>
      <c r="C22" s="23">
        <f t="shared" si="0"/>
        <v>0</v>
      </c>
      <c r="D22" s="23"/>
      <c r="E22" s="23"/>
      <c r="F22" s="23"/>
      <c r="G22" s="23"/>
      <c r="H22" s="23"/>
      <c r="I22" s="23"/>
      <c r="J22" s="23"/>
      <c r="K22" s="23">
        <f t="shared" si="1"/>
        <v>0</v>
      </c>
      <c r="L22" s="12"/>
      <c r="M22" s="20"/>
    </row>
    <row r="23" spans="1:13" ht="26.25" customHeight="1">
      <c r="A23" s="21" t="s">
        <v>23</v>
      </c>
      <c r="B23" s="26" t="s">
        <v>117</v>
      </c>
      <c r="C23" s="23">
        <f t="shared" si="0"/>
        <v>4280</v>
      </c>
      <c r="D23" s="23"/>
      <c r="E23" s="23"/>
      <c r="F23" s="23">
        <f>2300+1160+20+800</f>
        <v>4280</v>
      </c>
      <c r="G23" s="23"/>
      <c r="H23" s="23"/>
      <c r="I23" s="23"/>
      <c r="J23" s="23"/>
      <c r="K23" s="23">
        <f t="shared" si="1"/>
        <v>4280</v>
      </c>
      <c r="L23" s="12"/>
      <c r="M23" s="20"/>
    </row>
    <row r="24" spans="1:12" s="20" customFormat="1" ht="16.5" customHeight="1">
      <c r="A24" s="24" t="s">
        <v>24</v>
      </c>
      <c r="B24" s="27" t="s">
        <v>120</v>
      </c>
      <c r="C24" s="4">
        <f aca="true" t="shared" si="2" ref="C24:C30">D24+E24+F24+G24</f>
        <v>88353.1</v>
      </c>
      <c r="D24" s="4">
        <v>34566.9</v>
      </c>
      <c r="E24" s="4">
        <v>8528.5</v>
      </c>
      <c r="F24" s="2">
        <f>38851.4+300+36</f>
        <v>39187.4</v>
      </c>
      <c r="G24" s="2">
        <v>6070.3</v>
      </c>
      <c r="H24" s="2">
        <v>3948</v>
      </c>
      <c r="I24" s="2"/>
      <c r="J24" s="2"/>
      <c r="K24" s="2">
        <f t="shared" si="1"/>
        <v>92301.1</v>
      </c>
      <c r="L24" s="19"/>
    </row>
    <row r="25" spans="1:12" s="20" customFormat="1" ht="16.5" customHeight="1">
      <c r="A25" s="24" t="s">
        <v>25</v>
      </c>
      <c r="B25" s="27" t="s">
        <v>121</v>
      </c>
      <c r="C25" s="4">
        <f t="shared" si="2"/>
        <v>191013</v>
      </c>
      <c r="D25" s="4">
        <v>70800.2</v>
      </c>
      <c r="E25" s="4">
        <v>15800</v>
      </c>
      <c r="F25" s="4">
        <v>93686.2</v>
      </c>
      <c r="G25" s="2">
        <v>10726.6</v>
      </c>
      <c r="H25" s="2">
        <v>6120.9</v>
      </c>
      <c r="I25" s="2"/>
      <c r="J25" s="2"/>
      <c r="K25" s="4">
        <f t="shared" si="1"/>
        <v>197133.9</v>
      </c>
      <c r="L25" s="19"/>
    </row>
    <row r="26" spans="1:12" s="20" customFormat="1" ht="27.75" customHeight="1">
      <c r="A26" s="24" t="s">
        <v>26</v>
      </c>
      <c r="B26" s="27" t="s">
        <v>122</v>
      </c>
      <c r="C26" s="4">
        <f t="shared" si="2"/>
        <v>38188.5</v>
      </c>
      <c r="D26" s="4">
        <f>D27+D32+D33+D34+D36+D37+D38+D39</f>
        <v>10979.4</v>
      </c>
      <c r="E26" s="4">
        <f>E27+E32+E33+E34+E36+E37+E38+E39</f>
        <v>4178.3</v>
      </c>
      <c r="F26" s="4">
        <f>F27+F32+F33+F34+F36+F37+F38+F39</f>
        <v>22994.7</v>
      </c>
      <c r="G26" s="4">
        <f>G27+G32+G33+G34+G36+G37+G38+G39</f>
        <v>36.1</v>
      </c>
      <c r="H26" s="2">
        <f>H27+H32+H33+H34+H36+H37+H38</f>
        <v>2114.2999999999997</v>
      </c>
      <c r="I26" s="2"/>
      <c r="J26" s="2"/>
      <c r="K26" s="4">
        <f t="shared" si="1"/>
        <v>40302.8</v>
      </c>
      <c r="L26" s="19"/>
    </row>
    <row r="27" spans="1:13" ht="26.25">
      <c r="A27" s="21" t="s">
        <v>27</v>
      </c>
      <c r="B27" s="22" t="s">
        <v>28</v>
      </c>
      <c r="C27" s="23">
        <f t="shared" si="2"/>
        <v>952.3000000000001</v>
      </c>
      <c r="D27" s="23">
        <f>D28+D29+D30+D31</f>
        <v>0</v>
      </c>
      <c r="E27" s="23">
        <f>E28+E29+E30+E31</f>
        <v>0</v>
      </c>
      <c r="F27" s="23">
        <f>F28+F29+F30+F31</f>
        <v>916.2</v>
      </c>
      <c r="G27" s="23">
        <f>G28+G29+G30+G31</f>
        <v>36.1</v>
      </c>
      <c r="H27" s="23">
        <f>H28+H29+H30+H31</f>
        <v>0</v>
      </c>
      <c r="I27" s="23"/>
      <c r="J27" s="23"/>
      <c r="K27" s="23">
        <f t="shared" si="1"/>
        <v>952.3000000000001</v>
      </c>
      <c r="L27" s="12"/>
      <c r="M27" s="20"/>
    </row>
    <row r="28" spans="1:13" ht="26.25" hidden="1">
      <c r="A28" s="21" t="s">
        <v>29</v>
      </c>
      <c r="B28" s="22" t="s">
        <v>30</v>
      </c>
      <c r="C28" s="23">
        <f t="shared" si="2"/>
        <v>0</v>
      </c>
      <c r="D28" s="23"/>
      <c r="E28" s="23"/>
      <c r="F28" s="23"/>
      <c r="G28" s="23"/>
      <c r="H28" s="23"/>
      <c r="I28" s="23"/>
      <c r="J28" s="23"/>
      <c r="K28" s="23">
        <f t="shared" si="1"/>
        <v>0</v>
      </c>
      <c r="L28" s="12"/>
      <c r="M28" s="20"/>
    </row>
    <row r="29" spans="1:13" ht="26.25">
      <c r="A29" s="21" t="s">
        <v>97</v>
      </c>
      <c r="B29" s="22" t="s">
        <v>98</v>
      </c>
      <c r="C29" s="23">
        <f t="shared" si="2"/>
        <v>3.3</v>
      </c>
      <c r="D29" s="23"/>
      <c r="E29" s="23"/>
      <c r="F29" s="23">
        <v>3.3</v>
      </c>
      <c r="G29" s="23"/>
      <c r="H29" s="23"/>
      <c r="I29" s="23"/>
      <c r="J29" s="23"/>
      <c r="K29" s="23">
        <f t="shared" si="1"/>
        <v>3.3</v>
      </c>
      <c r="L29" s="12"/>
      <c r="M29" s="20"/>
    </row>
    <row r="30" spans="1:13" ht="14.25" customHeight="1">
      <c r="A30" s="21" t="s">
        <v>31</v>
      </c>
      <c r="B30" s="22" t="s">
        <v>32</v>
      </c>
      <c r="C30" s="23">
        <f t="shared" si="2"/>
        <v>534.1</v>
      </c>
      <c r="D30" s="23"/>
      <c r="E30" s="23"/>
      <c r="F30" s="23">
        <f>471+27</f>
        <v>498</v>
      </c>
      <c r="G30" s="23">
        <v>36.1</v>
      </c>
      <c r="H30" s="23"/>
      <c r="I30" s="23"/>
      <c r="J30" s="23"/>
      <c r="K30" s="23">
        <f t="shared" si="1"/>
        <v>534.1</v>
      </c>
      <c r="L30" s="12"/>
      <c r="M30" s="20"/>
    </row>
    <row r="31" spans="1:13" ht="36" customHeight="1">
      <c r="A31" s="28" t="s">
        <v>33</v>
      </c>
      <c r="B31" s="22" t="s">
        <v>209</v>
      </c>
      <c r="C31" s="23">
        <f t="shared" si="0"/>
        <v>414.9</v>
      </c>
      <c r="D31" s="23"/>
      <c r="E31" s="23"/>
      <c r="F31" s="23">
        <v>414.9</v>
      </c>
      <c r="G31" s="23"/>
      <c r="H31" s="23"/>
      <c r="I31" s="23"/>
      <c r="J31" s="23"/>
      <c r="K31" s="23">
        <f t="shared" si="1"/>
        <v>414.9</v>
      </c>
      <c r="L31" s="12"/>
      <c r="M31" s="20"/>
    </row>
    <row r="32" spans="1:13" ht="26.25" hidden="1">
      <c r="A32" s="21" t="s">
        <v>34</v>
      </c>
      <c r="B32" s="22"/>
      <c r="C32" s="23">
        <f t="shared" si="0"/>
        <v>0</v>
      </c>
      <c r="D32" s="23"/>
      <c r="E32" s="23"/>
      <c r="F32" s="23"/>
      <c r="G32" s="23"/>
      <c r="H32" s="23"/>
      <c r="I32" s="23"/>
      <c r="J32" s="23"/>
      <c r="K32" s="23">
        <f t="shared" si="1"/>
        <v>0</v>
      </c>
      <c r="L32" s="12"/>
      <c r="M32" s="20"/>
    </row>
    <row r="33" spans="1:13" ht="51.75" customHeight="1">
      <c r="A33" s="21" t="s">
        <v>203</v>
      </c>
      <c r="B33" s="37" t="s">
        <v>202</v>
      </c>
      <c r="C33" s="23">
        <f t="shared" si="0"/>
        <v>33055</v>
      </c>
      <c r="D33" s="40">
        <v>10243.5</v>
      </c>
      <c r="E33" s="23">
        <v>4091.9</v>
      </c>
      <c r="F33" s="23">
        <f>18416.9+418.2-115.5</f>
        <v>18719.600000000002</v>
      </c>
      <c r="G33" s="23"/>
      <c r="H33" s="23">
        <f>1618.6+92.3</f>
        <v>1710.8999999999999</v>
      </c>
      <c r="I33" s="23"/>
      <c r="J33" s="23"/>
      <c r="K33" s="23">
        <f t="shared" si="1"/>
        <v>34765.9</v>
      </c>
      <c r="L33" s="12"/>
      <c r="M33" s="20"/>
    </row>
    <row r="34" spans="1:13" ht="27" customHeight="1">
      <c r="A34" s="21" t="s">
        <v>99</v>
      </c>
      <c r="B34" s="22" t="s">
        <v>35</v>
      </c>
      <c r="C34" s="23">
        <f t="shared" si="0"/>
        <v>1193.6</v>
      </c>
      <c r="D34" s="23">
        <v>206</v>
      </c>
      <c r="E34" s="23">
        <v>34.3</v>
      </c>
      <c r="F34" s="23">
        <f>843.3-20+130</f>
        <v>953.3</v>
      </c>
      <c r="G34" s="23"/>
      <c r="H34" s="23"/>
      <c r="I34" s="23"/>
      <c r="J34" s="23"/>
      <c r="K34" s="23">
        <f t="shared" si="1"/>
        <v>1193.6</v>
      </c>
      <c r="L34" s="12"/>
      <c r="M34" s="20"/>
    </row>
    <row r="35" spans="1:13" ht="39" customHeight="1">
      <c r="A35" s="21" t="s">
        <v>100</v>
      </c>
      <c r="B35" s="22" t="s">
        <v>107</v>
      </c>
      <c r="C35" s="23">
        <f t="shared" si="0"/>
        <v>207.39999999999998</v>
      </c>
      <c r="D35" s="23">
        <v>103.8</v>
      </c>
      <c r="E35" s="23">
        <v>11</v>
      </c>
      <c r="F35" s="23">
        <v>92.6</v>
      </c>
      <c r="G35" s="23"/>
      <c r="H35" s="23"/>
      <c r="I35" s="23"/>
      <c r="J35" s="23"/>
      <c r="K35" s="23">
        <f t="shared" si="1"/>
        <v>207.39999999999998</v>
      </c>
      <c r="L35" s="12"/>
      <c r="M35" s="20"/>
    </row>
    <row r="36" spans="1:13" ht="39">
      <c r="A36" s="21" t="s">
        <v>36</v>
      </c>
      <c r="B36" s="22" t="s">
        <v>37</v>
      </c>
      <c r="C36" s="23">
        <f t="shared" si="0"/>
        <v>56</v>
      </c>
      <c r="D36" s="23"/>
      <c r="E36" s="23"/>
      <c r="F36" s="23">
        <v>56</v>
      </c>
      <c r="G36" s="23"/>
      <c r="H36" s="23"/>
      <c r="I36" s="23"/>
      <c r="J36" s="23"/>
      <c r="K36" s="23">
        <f t="shared" si="1"/>
        <v>56</v>
      </c>
      <c r="L36" s="12"/>
      <c r="M36" s="20"/>
    </row>
    <row r="37" spans="1:13" ht="26.25" hidden="1">
      <c r="A37" s="21" t="s">
        <v>38</v>
      </c>
      <c r="B37" s="22"/>
      <c r="C37" s="23">
        <f t="shared" si="0"/>
        <v>0</v>
      </c>
      <c r="D37" s="23"/>
      <c r="E37" s="23"/>
      <c r="F37" s="23"/>
      <c r="G37" s="23"/>
      <c r="H37" s="23"/>
      <c r="I37" s="23"/>
      <c r="J37" s="23"/>
      <c r="K37" s="23">
        <f t="shared" si="1"/>
        <v>0</v>
      </c>
      <c r="L37" s="12"/>
      <c r="M37" s="20"/>
    </row>
    <row r="38" spans="1:13" ht="22.5" customHeight="1">
      <c r="A38" s="21" t="s">
        <v>39</v>
      </c>
      <c r="B38" s="37" t="s">
        <v>40</v>
      </c>
      <c r="C38" s="23">
        <f t="shared" si="0"/>
        <v>1531.6</v>
      </c>
      <c r="D38" s="23">
        <v>529.9</v>
      </c>
      <c r="E38" s="23">
        <v>52.1</v>
      </c>
      <c r="F38" s="23">
        <v>949.6</v>
      </c>
      <c r="G38" s="23"/>
      <c r="H38" s="23">
        <v>403.4</v>
      </c>
      <c r="I38" s="23"/>
      <c r="J38" s="23"/>
      <c r="K38" s="23">
        <f t="shared" si="1"/>
        <v>1935</v>
      </c>
      <c r="L38" s="12"/>
      <c r="M38" s="20"/>
    </row>
    <row r="39" spans="1:13" ht="24.75" customHeight="1">
      <c r="A39" s="21" t="s">
        <v>204</v>
      </c>
      <c r="B39" s="37" t="s">
        <v>205</v>
      </c>
      <c r="C39" s="23">
        <f t="shared" si="0"/>
        <v>1400</v>
      </c>
      <c r="D39" s="23"/>
      <c r="E39" s="23"/>
      <c r="F39" s="23">
        <v>1400</v>
      </c>
      <c r="G39" s="23"/>
      <c r="H39" s="23"/>
      <c r="I39" s="23"/>
      <c r="J39" s="23"/>
      <c r="K39" s="23">
        <f t="shared" si="1"/>
        <v>1400</v>
      </c>
      <c r="L39" s="12"/>
      <c r="M39" s="20"/>
    </row>
    <row r="40" spans="1:13" ht="24.75" customHeight="1">
      <c r="A40" s="24" t="s">
        <v>206</v>
      </c>
      <c r="B40" s="53" t="s">
        <v>207</v>
      </c>
      <c r="C40" s="2">
        <f t="shared" si="0"/>
        <v>4651.5</v>
      </c>
      <c r="D40" s="2">
        <v>1332.9</v>
      </c>
      <c r="E40" s="2">
        <v>409.2</v>
      </c>
      <c r="F40" s="2">
        <v>2909.4</v>
      </c>
      <c r="G40" s="2"/>
      <c r="H40" s="2"/>
      <c r="I40" s="2"/>
      <c r="J40" s="2"/>
      <c r="K40" s="2">
        <f t="shared" si="1"/>
        <v>4651.5</v>
      </c>
      <c r="L40" s="12"/>
      <c r="M40" s="20"/>
    </row>
    <row r="41" spans="1:12" s="20" customFormat="1" ht="24" customHeight="1">
      <c r="A41" s="29">
        <v>100000</v>
      </c>
      <c r="B41" s="30" t="s">
        <v>123</v>
      </c>
      <c r="C41" s="2">
        <f>D41+E41+F41+G41</f>
        <v>18000.5</v>
      </c>
      <c r="D41" s="2"/>
      <c r="E41" s="2"/>
      <c r="F41" s="2">
        <f>6000+F44</f>
        <v>7000</v>
      </c>
      <c r="G41" s="2">
        <v>11000.5</v>
      </c>
      <c r="H41" s="2"/>
      <c r="I41" s="2"/>
      <c r="J41" s="2"/>
      <c r="K41" s="2">
        <f t="shared" si="1"/>
        <v>18000.5</v>
      </c>
      <c r="L41" s="19"/>
    </row>
    <row r="42" spans="1:12" s="20" customFormat="1" ht="27" customHeight="1" hidden="1">
      <c r="A42" s="31">
        <v>100101</v>
      </c>
      <c r="B42" s="32" t="s">
        <v>41</v>
      </c>
      <c r="C42" s="2">
        <f t="shared" si="0"/>
        <v>0</v>
      </c>
      <c r="D42" s="2"/>
      <c r="E42" s="2"/>
      <c r="F42" s="2"/>
      <c r="G42" s="2"/>
      <c r="H42" s="2"/>
      <c r="I42" s="2"/>
      <c r="J42" s="2"/>
      <c r="K42" s="23">
        <f t="shared" si="1"/>
        <v>0</v>
      </c>
      <c r="L42" s="19"/>
    </row>
    <row r="43" spans="1:13" ht="25.5" customHeight="1" hidden="1">
      <c r="A43" s="31">
        <v>100202</v>
      </c>
      <c r="B43" s="22" t="s">
        <v>42</v>
      </c>
      <c r="C43" s="2">
        <f t="shared" si="0"/>
        <v>0</v>
      </c>
      <c r="D43" s="2"/>
      <c r="E43" s="2"/>
      <c r="F43" s="2"/>
      <c r="G43" s="2"/>
      <c r="H43" s="2"/>
      <c r="I43" s="2"/>
      <c r="J43" s="2"/>
      <c r="K43" s="23">
        <f t="shared" si="1"/>
        <v>0</v>
      </c>
      <c r="L43" s="12"/>
      <c r="M43" s="20"/>
    </row>
    <row r="44" spans="1:13" ht="12.75">
      <c r="A44" s="31">
        <v>100206</v>
      </c>
      <c r="B44" s="33" t="s">
        <v>116</v>
      </c>
      <c r="C44" s="2">
        <f t="shared" si="0"/>
        <v>1000</v>
      </c>
      <c r="D44" s="34"/>
      <c r="E44" s="34"/>
      <c r="F44" s="34">
        <v>1000</v>
      </c>
      <c r="G44" s="34"/>
      <c r="H44" s="34"/>
      <c r="I44" s="23"/>
      <c r="J44" s="23"/>
      <c r="K44" s="23">
        <f t="shared" si="1"/>
        <v>1000</v>
      </c>
      <c r="M44" s="20"/>
    </row>
    <row r="45" spans="1:13" ht="12.75">
      <c r="A45" s="1"/>
      <c r="B45" s="33" t="s">
        <v>94</v>
      </c>
      <c r="C45" s="2">
        <f t="shared" si="0"/>
        <v>1000</v>
      </c>
      <c r="D45" s="34"/>
      <c r="E45" s="34"/>
      <c r="F45" s="34">
        <v>1000</v>
      </c>
      <c r="G45" s="34"/>
      <c r="H45" s="34"/>
      <c r="I45" s="23"/>
      <c r="J45" s="23"/>
      <c r="K45" s="23">
        <f t="shared" si="1"/>
        <v>1000</v>
      </c>
      <c r="M45" s="20"/>
    </row>
    <row r="46" spans="1:11" s="20" customFormat="1" ht="12.75" hidden="1">
      <c r="A46" s="31">
        <v>100203</v>
      </c>
      <c r="B46" s="22" t="s">
        <v>43</v>
      </c>
      <c r="C46" s="2">
        <f t="shared" si="0"/>
        <v>0</v>
      </c>
      <c r="D46" s="2"/>
      <c r="E46" s="2"/>
      <c r="F46" s="2"/>
      <c r="G46" s="2"/>
      <c r="H46" s="2"/>
      <c r="I46" s="2"/>
      <c r="J46" s="2"/>
      <c r="K46" s="23">
        <f t="shared" si="1"/>
        <v>0</v>
      </c>
    </row>
    <row r="47" spans="1:12" s="20" customFormat="1" ht="12.75">
      <c r="A47" s="35">
        <v>110000</v>
      </c>
      <c r="B47" s="25" t="s">
        <v>124</v>
      </c>
      <c r="C47" s="2">
        <f>D47+E47+F47+G47</f>
        <v>17260.3</v>
      </c>
      <c r="D47" s="2">
        <f>SUM(D48:D50)</f>
        <v>1283.2</v>
      </c>
      <c r="E47" s="2">
        <f>SUM(E48:E50)</f>
        <v>345.1</v>
      </c>
      <c r="F47" s="2">
        <f>SUM(F48:F50)</f>
        <v>14127</v>
      </c>
      <c r="G47" s="2">
        <v>1505</v>
      </c>
      <c r="H47" s="2">
        <f>SUM(H48:H50)</f>
        <v>465</v>
      </c>
      <c r="I47" s="2"/>
      <c r="J47" s="2"/>
      <c r="K47" s="2">
        <f t="shared" si="1"/>
        <v>17725.3</v>
      </c>
      <c r="L47" s="19"/>
    </row>
    <row r="48" spans="1:13" ht="12.75">
      <c r="A48" s="31">
        <v>110100</v>
      </c>
      <c r="B48" s="22" t="s">
        <v>44</v>
      </c>
      <c r="C48" s="23">
        <f t="shared" si="0"/>
        <v>9004.9</v>
      </c>
      <c r="D48" s="23"/>
      <c r="E48" s="23"/>
      <c r="F48" s="23">
        <v>9004.9</v>
      </c>
      <c r="G48" s="23"/>
      <c r="H48" s="23"/>
      <c r="I48" s="23"/>
      <c r="J48" s="23"/>
      <c r="K48" s="23">
        <f t="shared" si="1"/>
        <v>9004.9</v>
      </c>
      <c r="L48" s="12"/>
      <c r="M48" s="20"/>
    </row>
    <row r="49" spans="1:13" ht="53.25" customHeight="1">
      <c r="A49" s="36" t="s">
        <v>45</v>
      </c>
      <c r="B49" s="37" t="s">
        <v>101</v>
      </c>
      <c r="C49" s="23">
        <f t="shared" si="0"/>
        <v>6550.400000000001</v>
      </c>
      <c r="D49" s="23">
        <v>1283.2</v>
      </c>
      <c r="E49" s="23">
        <f>311.6+33.5</f>
        <v>345.1</v>
      </c>
      <c r="F49" s="23">
        <f>3094.6+1821+40-33.5</f>
        <v>4922.1</v>
      </c>
      <c r="G49" s="23"/>
      <c r="H49" s="23">
        <v>465</v>
      </c>
      <c r="I49" s="23"/>
      <c r="J49" s="23"/>
      <c r="K49" s="23">
        <f t="shared" si="1"/>
        <v>7015.400000000001</v>
      </c>
      <c r="L49" s="12"/>
      <c r="M49" s="20"/>
    </row>
    <row r="50" spans="1:13" ht="12.75">
      <c r="A50" s="31">
        <v>110300</v>
      </c>
      <c r="B50" s="22" t="s">
        <v>46</v>
      </c>
      <c r="C50" s="23">
        <f t="shared" si="0"/>
        <v>200</v>
      </c>
      <c r="D50" s="23"/>
      <c r="E50" s="23"/>
      <c r="F50" s="23">
        <v>200</v>
      </c>
      <c r="G50" s="23"/>
      <c r="H50" s="23"/>
      <c r="I50" s="23"/>
      <c r="J50" s="23"/>
      <c r="K50" s="23">
        <f t="shared" si="1"/>
        <v>200</v>
      </c>
      <c r="L50" s="12"/>
      <c r="M50" s="20"/>
    </row>
    <row r="51" spans="1:12" s="20" customFormat="1" ht="18.75" customHeight="1">
      <c r="A51" s="38">
        <v>120000</v>
      </c>
      <c r="B51" s="39" t="s">
        <v>125</v>
      </c>
      <c r="C51" s="39">
        <f>D51+E51+F51+G51</f>
        <v>8669.4</v>
      </c>
      <c r="D51" s="39"/>
      <c r="E51" s="39"/>
      <c r="F51" s="39">
        <f>F53+F55+F52</f>
        <v>6534.3</v>
      </c>
      <c r="G51" s="39">
        <v>2135.1</v>
      </c>
      <c r="H51" s="39"/>
      <c r="I51" s="39"/>
      <c r="J51" s="39"/>
      <c r="K51" s="39">
        <f t="shared" si="1"/>
        <v>8669.4</v>
      </c>
      <c r="L51" s="19"/>
    </row>
    <row r="52" spans="1:13" ht="16.5" customHeight="1">
      <c r="A52" s="46">
        <v>120100</v>
      </c>
      <c r="B52" s="72" t="s">
        <v>210</v>
      </c>
      <c r="C52" s="72">
        <f>D52+E52+F52+G52</f>
        <v>2000</v>
      </c>
      <c r="D52" s="72"/>
      <c r="E52" s="72"/>
      <c r="F52" s="72">
        <v>2000</v>
      </c>
      <c r="G52" s="72"/>
      <c r="H52" s="72"/>
      <c r="I52" s="72"/>
      <c r="J52" s="72"/>
      <c r="K52" s="72"/>
      <c r="L52" s="12"/>
      <c r="M52" s="20"/>
    </row>
    <row r="53" spans="1:13" ht="12.75" customHeight="1">
      <c r="A53" s="31">
        <v>120200</v>
      </c>
      <c r="B53" s="22" t="s">
        <v>47</v>
      </c>
      <c r="C53" s="23">
        <f t="shared" si="0"/>
        <v>4200</v>
      </c>
      <c r="D53" s="23"/>
      <c r="E53" s="23"/>
      <c r="F53" s="23">
        <v>4200</v>
      </c>
      <c r="G53" s="23"/>
      <c r="H53" s="23"/>
      <c r="I53" s="23"/>
      <c r="J53" s="23"/>
      <c r="K53" s="23">
        <f t="shared" si="1"/>
        <v>4200</v>
      </c>
      <c r="L53" s="12"/>
      <c r="M53" s="20"/>
    </row>
    <row r="54" spans="1:13" ht="26.25" customHeight="1" hidden="1">
      <c r="A54" s="31">
        <v>120201</v>
      </c>
      <c r="B54" s="22" t="s">
        <v>95</v>
      </c>
      <c r="C54" s="23">
        <f t="shared" si="0"/>
        <v>0</v>
      </c>
      <c r="D54" s="23"/>
      <c r="E54" s="23"/>
      <c r="F54" s="23"/>
      <c r="G54" s="23"/>
      <c r="H54" s="23"/>
      <c r="I54" s="23"/>
      <c r="J54" s="23"/>
      <c r="K54" s="23">
        <f t="shared" si="1"/>
        <v>0</v>
      </c>
      <c r="L54" s="12"/>
      <c r="M54" s="20"/>
    </row>
    <row r="55" spans="1:13" ht="12.75">
      <c r="A55" s="31">
        <v>120300</v>
      </c>
      <c r="B55" s="22" t="s">
        <v>48</v>
      </c>
      <c r="C55" s="23">
        <f t="shared" si="0"/>
        <v>334.3</v>
      </c>
      <c r="D55" s="23"/>
      <c r="E55" s="23"/>
      <c r="F55" s="23">
        <f>334.3</f>
        <v>334.3</v>
      </c>
      <c r="G55" s="23"/>
      <c r="H55" s="23"/>
      <c r="I55" s="23"/>
      <c r="J55" s="23"/>
      <c r="K55" s="23">
        <f t="shared" si="1"/>
        <v>334.3</v>
      </c>
      <c r="L55" s="12"/>
      <c r="M55" s="20"/>
    </row>
    <row r="56" spans="1:13" ht="12.75" hidden="1">
      <c r="A56" s="31">
        <v>120301</v>
      </c>
      <c r="B56" s="22" t="s">
        <v>96</v>
      </c>
      <c r="C56" s="23">
        <f t="shared" si="0"/>
        <v>0</v>
      </c>
      <c r="D56" s="23"/>
      <c r="E56" s="23"/>
      <c r="F56" s="23"/>
      <c r="G56" s="23"/>
      <c r="H56" s="23"/>
      <c r="I56" s="23"/>
      <c r="J56" s="23"/>
      <c r="K56" s="23">
        <f t="shared" si="1"/>
        <v>0</v>
      </c>
      <c r="L56" s="12"/>
      <c r="M56" s="20"/>
    </row>
    <row r="57" spans="1:12" s="20" customFormat="1" ht="12.75">
      <c r="A57" s="35">
        <v>130000</v>
      </c>
      <c r="B57" s="25" t="s">
        <v>126</v>
      </c>
      <c r="C57" s="2">
        <f>D57+E57+F57+G57</f>
        <v>20796.100000000002</v>
      </c>
      <c r="D57" s="2">
        <v>1439.7</v>
      </c>
      <c r="E57" s="2">
        <v>29.7</v>
      </c>
      <c r="F57" s="2">
        <f>11365.7+7300+600</f>
        <v>19265.7</v>
      </c>
      <c r="G57" s="2">
        <v>61</v>
      </c>
      <c r="H57" s="2"/>
      <c r="I57" s="2"/>
      <c r="J57" s="2"/>
      <c r="K57" s="2">
        <f t="shared" si="1"/>
        <v>20796.100000000002</v>
      </c>
      <c r="L57" s="19"/>
    </row>
    <row r="58" spans="1:12" s="20" customFormat="1" ht="12.75">
      <c r="A58" s="35">
        <v>150000</v>
      </c>
      <c r="B58" s="25" t="s">
        <v>49</v>
      </c>
      <c r="C58" s="2">
        <f t="shared" si="0"/>
        <v>0</v>
      </c>
      <c r="D58" s="2"/>
      <c r="E58" s="2"/>
      <c r="F58" s="2"/>
      <c r="G58" s="2"/>
      <c r="H58" s="4">
        <f>SUM(H59:H61)</f>
        <v>39061</v>
      </c>
      <c r="I58" s="4">
        <f>SUM(I59:I61)</f>
        <v>39061</v>
      </c>
      <c r="J58" s="2">
        <v>1730</v>
      </c>
      <c r="K58" s="2">
        <f t="shared" si="1"/>
        <v>39061</v>
      </c>
      <c r="L58" s="19"/>
    </row>
    <row r="59" spans="1:13" ht="12.75">
      <c r="A59" s="31">
        <v>150100</v>
      </c>
      <c r="B59" s="22" t="s">
        <v>49</v>
      </c>
      <c r="C59" s="23">
        <f t="shared" si="0"/>
        <v>0</v>
      </c>
      <c r="D59" s="23"/>
      <c r="E59" s="23"/>
      <c r="F59" s="23"/>
      <c r="G59" s="23"/>
      <c r="H59" s="40">
        <f>1730+8000-110+1452.5+22506.3</f>
        <v>33578.8</v>
      </c>
      <c r="I59" s="40">
        <f>1730+8000-110+1452.5+22506.3</f>
        <v>33578.8</v>
      </c>
      <c r="J59" s="23">
        <v>1730</v>
      </c>
      <c r="K59" s="23">
        <f t="shared" si="1"/>
        <v>33578.8</v>
      </c>
      <c r="L59" s="12"/>
      <c r="M59" s="20"/>
    </row>
    <row r="60" spans="1:13" ht="26.25">
      <c r="A60" s="31">
        <v>150107</v>
      </c>
      <c r="B60" s="22" t="s">
        <v>50</v>
      </c>
      <c r="C60" s="23">
        <f t="shared" si="0"/>
        <v>0</v>
      </c>
      <c r="D60" s="23"/>
      <c r="E60" s="23"/>
      <c r="F60" s="23"/>
      <c r="G60" s="23"/>
      <c r="H60" s="23">
        <v>5482.2</v>
      </c>
      <c r="I60" s="23">
        <v>5482.2</v>
      </c>
      <c r="J60" s="23"/>
      <c r="K60" s="23">
        <f t="shared" si="1"/>
        <v>5482.2</v>
      </c>
      <c r="L60" s="12"/>
      <c r="M60" s="20"/>
    </row>
    <row r="61" spans="1:13" ht="12.75">
      <c r="A61" s="31">
        <v>150200</v>
      </c>
      <c r="B61" s="22" t="s">
        <v>108</v>
      </c>
      <c r="C61" s="23">
        <f t="shared" si="0"/>
        <v>0</v>
      </c>
      <c r="D61" s="23"/>
      <c r="E61" s="23"/>
      <c r="F61" s="23"/>
      <c r="G61" s="23"/>
      <c r="H61" s="23"/>
      <c r="I61" s="23"/>
      <c r="J61" s="23"/>
      <c r="K61" s="23">
        <f t="shared" si="1"/>
        <v>0</v>
      </c>
      <c r="L61" s="12"/>
      <c r="M61" s="20"/>
    </row>
    <row r="62" spans="1:12" s="20" customFormat="1" ht="40.5" customHeight="1">
      <c r="A62" s="35">
        <v>170000</v>
      </c>
      <c r="B62" s="53" t="s">
        <v>127</v>
      </c>
      <c r="C62" s="2">
        <f t="shared" si="0"/>
        <v>0</v>
      </c>
      <c r="D62" s="2"/>
      <c r="E62" s="2"/>
      <c r="F62" s="2"/>
      <c r="G62" s="2"/>
      <c r="H62" s="4">
        <f>H63+H65+H67</f>
        <v>27817.1</v>
      </c>
      <c r="I62" s="4"/>
      <c r="J62" s="4"/>
      <c r="K62" s="2">
        <f t="shared" si="1"/>
        <v>27817.1</v>
      </c>
      <c r="L62" s="19"/>
    </row>
    <row r="63" spans="1:13" ht="12.75" hidden="1">
      <c r="A63" s="31">
        <v>170100</v>
      </c>
      <c r="B63" s="22" t="s">
        <v>51</v>
      </c>
      <c r="C63" s="2">
        <f t="shared" si="0"/>
        <v>0</v>
      </c>
      <c r="D63" s="2"/>
      <c r="E63" s="2"/>
      <c r="F63" s="2"/>
      <c r="G63" s="2"/>
      <c r="H63" s="2"/>
      <c r="I63" s="2"/>
      <c r="J63" s="2"/>
      <c r="K63" s="23">
        <f t="shared" si="1"/>
        <v>0</v>
      </c>
      <c r="L63" s="12"/>
      <c r="M63" s="20"/>
    </row>
    <row r="64" spans="1:13" ht="15" customHeight="1" hidden="1">
      <c r="A64" s="28">
        <v>170102</v>
      </c>
      <c r="B64" s="22" t="s">
        <v>52</v>
      </c>
      <c r="C64" s="2">
        <f t="shared" si="0"/>
        <v>0</v>
      </c>
      <c r="D64" s="2"/>
      <c r="E64" s="2"/>
      <c r="F64" s="2"/>
      <c r="G64" s="2"/>
      <c r="H64" s="2"/>
      <c r="I64" s="2"/>
      <c r="J64" s="2"/>
      <c r="K64" s="23">
        <f t="shared" si="1"/>
        <v>0</v>
      </c>
      <c r="L64" s="12"/>
      <c r="M64" s="20"/>
    </row>
    <row r="65" spans="1:13" ht="12.75" hidden="1">
      <c r="A65" s="31">
        <v>170600</v>
      </c>
      <c r="B65" s="22" t="s">
        <v>53</v>
      </c>
      <c r="C65" s="2">
        <f t="shared" si="0"/>
        <v>0</v>
      </c>
      <c r="D65" s="2"/>
      <c r="E65" s="2"/>
      <c r="F65" s="2"/>
      <c r="G65" s="2"/>
      <c r="H65" s="2"/>
      <c r="I65" s="2"/>
      <c r="J65" s="2"/>
      <c r="K65" s="23">
        <f t="shared" si="1"/>
        <v>0</v>
      </c>
      <c r="L65" s="12"/>
      <c r="M65" s="20"/>
    </row>
    <row r="66" spans="1:13" ht="12.75" hidden="1">
      <c r="A66" s="31">
        <v>170602</v>
      </c>
      <c r="B66" s="22" t="s">
        <v>54</v>
      </c>
      <c r="C66" s="2">
        <f t="shared" si="0"/>
        <v>0</v>
      </c>
      <c r="D66" s="2"/>
      <c r="E66" s="2"/>
      <c r="F66" s="2"/>
      <c r="G66" s="2"/>
      <c r="H66" s="2"/>
      <c r="I66" s="2"/>
      <c r="J66" s="2"/>
      <c r="K66" s="23">
        <f t="shared" si="1"/>
        <v>0</v>
      </c>
      <c r="L66" s="12"/>
      <c r="M66" s="20"/>
    </row>
    <row r="67" spans="1:13" ht="12.75">
      <c r="A67" s="31">
        <v>170700</v>
      </c>
      <c r="B67" s="22" t="s">
        <v>55</v>
      </c>
      <c r="C67" s="23">
        <f t="shared" si="0"/>
        <v>0</v>
      </c>
      <c r="D67" s="23"/>
      <c r="E67" s="23"/>
      <c r="F67" s="23"/>
      <c r="G67" s="23"/>
      <c r="H67" s="40">
        <f>H68</f>
        <v>27817.1</v>
      </c>
      <c r="I67" s="40"/>
      <c r="J67" s="40"/>
      <c r="K67" s="23">
        <f t="shared" si="1"/>
        <v>27817.1</v>
      </c>
      <c r="L67" s="12"/>
      <c r="M67" s="20"/>
    </row>
    <row r="68" spans="1:13" ht="65.25" customHeight="1">
      <c r="A68" s="31">
        <v>170703</v>
      </c>
      <c r="B68" s="22" t="s">
        <v>56</v>
      </c>
      <c r="C68" s="23">
        <f t="shared" si="0"/>
        <v>0</v>
      </c>
      <c r="D68" s="23"/>
      <c r="E68" s="23"/>
      <c r="F68" s="23"/>
      <c r="G68" s="23"/>
      <c r="H68" s="40">
        <f>26567.1+1250</f>
        <v>27817.1</v>
      </c>
      <c r="I68" s="40"/>
      <c r="J68" s="40"/>
      <c r="K68" s="23">
        <f t="shared" si="1"/>
        <v>27817.1</v>
      </c>
      <c r="L68" s="12"/>
      <c r="M68" s="20"/>
    </row>
    <row r="69" spans="1:13" ht="40.5" customHeight="1">
      <c r="A69" s="35">
        <v>180109</v>
      </c>
      <c r="B69" s="25" t="s">
        <v>118</v>
      </c>
      <c r="C69" s="2">
        <f t="shared" si="0"/>
        <v>4960</v>
      </c>
      <c r="D69" s="23"/>
      <c r="E69" s="23"/>
      <c r="F69" s="2">
        <v>4960</v>
      </c>
      <c r="G69" s="23"/>
      <c r="H69" s="4"/>
      <c r="I69" s="40"/>
      <c r="J69" s="40"/>
      <c r="K69" s="2">
        <f t="shared" si="1"/>
        <v>4960</v>
      </c>
      <c r="L69" s="12"/>
      <c r="M69" s="20"/>
    </row>
    <row r="70" spans="1:12" s="20" customFormat="1" ht="25.5" customHeight="1">
      <c r="A70" s="35">
        <v>180410</v>
      </c>
      <c r="B70" s="25" t="s">
        <v>189</v>
      </c>
      <c r="C70" s="2">
        <f t="shared" si="0"/>
        <v>14.5</v>
      </c>
      <c r="D70" s="2"/>
      <c r="E70" s="2"/>
      <c r="F70" s="2">
        <v>14.5</v>
      </c>
      <c r="G70" s="2"/>
      <c r="H70" s="2"/>
      <c r="I70" s="2"/>
      <c r="J70" s="2"/>
      <c r="K70" s="2">
        <f t="shared" si="1"/>
        <v>14.5</v>
      </c>
      <c r="L70" s="19"/>
    </row>
    <row r="71" spans="1:12" s="20" customFormat="1" ht="38.25" customHeight="1">
      <c r="A71" s="35">
        <v>210000</v>
      </c>
      <c r="B71" s="25" t="s">
        <v>128</v>
      </c>
      <c r="C71" s="2">
        <f>D71+E71+F71+G71</f>
        <v>2308</v>
      </c>
      <c r="D71" s="2"/>
      <c r="E71" s="2"/>
      <c r="F71" s="2">
        <v>1533</v>
      </c>
      <c r="G71" s="2">
        <v>775</v>
      </c>
      <c r="H71" s="2"/>
      <c r="I71" s="2"/>
      <c r="J71" s="2"/>
      <c r="K71" s="2">
        <f t="shared" si="1"/>
        <v>2308</v>
      </c>
      <c r="L71" s="19"/>
    </row>
    <row r="72" spans="1:12" s="20" customFormat="1" ht="13.5" customHeight="1">
      <c r="A72" s="35">
        <v>230000</v>
      </c>
      <c r="B72" s="25" t="s">
        <v>129</v>
      </c>
      <c r="C72" s="2">
        <f t="shared" si="0"/>
        <v>0.1</v>
      </c>
      <c r="D72" s="2"/>
      <c r="E72" s="2"/>
      <c r="F72" s="2">
        <v>0.1</v>
      </c>
      <c r="G72" s="2"/>
      <c r="H72" s="2"/>
      <c r="I72" s="2"/>
      <c r="J72" s="2"/>
      <c r="K72" s="2">
        <f t="shared" si="1"/>
        <v>0.1</v>
      </c>
      <c r="L72" s="19"/>
    </row>
    <row r="73" spans="1:12" s="20" customFormat="1" ht="13.5" customHeight="1">
      <c r="A73" s="41">
        <v>240000</v>
      </c>
      <c r="B73" s="25" t="s">
        <v>173</v>
      </c>
      <c r="C73" s="2">
        <f aca="true" t="shared" si="3" ref="C73:C90">D73+E73+F73</f>
        <v>0</v>
      </c>
      <c r="D73" s="2">
        <f>D75+D79</f>
        <v>0</v>
      </c>
      <c r="E73" s="2">
        <f>E75+E79</f>
        <v>0</v>
      </c>
      <c r="F73" s="2">
        <f>F75+F79</f>
        <v>0</v>
      </c>
      <c r="G73" s="2"/>
      <c r="H73" s="4">
        <f>H75+H79+H74</f>
        <v>26274.6</v>
      </c>
      <c r="I73" s="2"/>
      <c r="J73" s="2"/>
      <c r="K73" s="2">
        <f aca="true" t="shared" si="4" ref="K73:K92">C73+H73</f>
        <v>26274.6</v>
      </c>
      <c r="L73" s="19"/>
    </row>
    <row r="74" spans="1:12" s="20" customFormat="1" ht="26.25" customHeight="1">
      <c r="A74" s="31">
        <v>240600</v>
      </c>
      <c r="B74" s="22" t="s">
        <v>194</v>
      </c>
      <c r="C74" s="23">
        <f t="shared" si="3"/>
        <v>0</v>
      </c>
      <c r="D74" s="2"/>
      <c r="E74" s="2"/>
      <c r="F74" s="2"/>
      <c r="G74" s="2"/>
      <c r="H74" s="40">
        <v>23470.6</v>
      </c>
      <c r="I74" s="2"/>
      <c r="J74" s="2"/>
      <c r="K74" s="23">
        <f>C74+H74</f>
        <v>23470.6</v>
      </c>
      <c r="L74" s="19"/>
    </row>
    <row r="75" spans="1:13" ht="26.25" hidden="1">
      <c r="A75" s="31">
        <v>240601</v>
      </c>
      <c r="B75" s="22" t="s">
        <v>130</v>
      </c>
      <c r="C75" s="23">
        <f t="shared" si="3"/>
        <v>0</v>
      </c>
      <c r="D75" s="23"/>
      <c r="E75" s="23"/>
      <c r="F75" s="23"/>
      <c r="G75" s="23"/>
      <c r="H75" s="40"/>
      <c r="I75" s="23"/>
      <c r="J75" s="23"/>
      <c r="K75" s="23">
        <f t="shared" si="4"/>
        <v>0</v>
      </c>
      <c r="L75" s="12"/>
      <c r="M75" s="20"/>
    </row>
    <row r="76" spans="1:13" ht="12.75" hidden="1">
      <c r="A76" s="31">
        <v>240602</v>
      </c>
      <c r="B76" s="22" t="s">
        <v>131</v>
      </c>
      <c r="C76" s="23">
        <f t="shared" si="3"/>
        <v>0</v>
      </c>
      <c r="D76" s="23"/>
      <c r="E76" s="23"/>
      <c r="F76" s="23"/>
      <c r="G76" s="23"/>
      <c r="H76" s="23"/>
      <c r="I76" s="23"/>
      <c r="J76" s="23"/>
      <c r="K76" s="23">
        <f t="shared" si="4"/>
        <v>0</v>
      </c>
      <c r="L76" s="12"/>
      <c r="M76" s="20"/>
    </row>
    <row r="77" spans="1:13" ht="26.25" hidden="1">
      <c r="A77" s="31">
        <v>240603</v>
      </c>
      <c r="B77" s="22" t="s">
        <v>132</v>
      </c>
      <c r="C77" s="23">
        <f t="shared" si="3"/>
        <v>0</v>
      </c>
      <c r="D77" s="23"/>
      <c r="E77" s="23"/>
      <c r="F77" s="23"/>
      <c r="G77" s="23"/>
      <c r="H77" s="23"/>
      <c r="I77" s="23"/>
      <c r="J77" s="23"/>
      <c r="K77" s="23">
        <f t="shared" si="4"/>
        <v>0</v>
      </c>
      <c r="L77" s="12"/>
      <c r="M77" s="20"/>
    </row>
    <row r="78" spans="1:13" ht="26.25" hidden="1">
      <c r="A78" s="31">
        <v>240604</v>
      </c>
      <c r="B78" s="22" t="s">
        <v>133</v>
      </c>
      <c r="C78" s="23">
        <f t="shared" si="3"/>
        <v>0</v>
      </c>
      <c r="D78" s="23"/>
      <c r="E78" s="23"/>
      <c r="F78" s="23"/>
      <c r="G78" s="23"/>
      <c r="H78" s="23"/>
      <c r="I78" s="23"/>
      <c r="J78" s="23"/>
      <c r="K78" s="23">
        <f t="shared" si="4"/>
        <v>0</v>
      </c>
      <c r="L78" s="12"/>
      <c r="M78" s="20"/>
    </row>
    <row r="79" spans="1:13" ht="52.5">
      <c r="A79" s="31">
        <v>240900</v>
      </c>
      <c r="B79" s="22" t="s">
        <v>57</v>
      </c>
      <c r="C79" s="23">
        <f>D79+E79+F79</f>
        <v>0</v>
      </c>
      <c r="D79" s="23"/>
      <c r="E79" s="23"/>
      <c r="F79" s="23"/>
      <c r="G79" s="23"/>
      <c r="H79" s="23">
        <f>2061.1+742.9</f>
        <v>2804</v>
      </c>
      <c r="I79" s="23"/>
      <c r="J79" s="23"/>
      <c r="K79" s="23">
        <f>C79+H79</f>
        <v>2804</v>
      </c>
      <c r="L79" s="12"/>
      <c r="M79" s="20"/>
    </row>
    <row r="80" spans="1:12" s="20" customFormat="1" ht="26.25">
      <c r="A80" s="35">
        <v>250000</v>
      </c>
      <c r="B80" s="25" t="s">
        <v>58</v>
      </c>
      <c r="C80" s="2">
        <f t="shared" si="3"/>
        <v>3888</v>
      </c>
      <c r="D80" s="2">
        <f>SUM(D81:D83)</f>
        <v>0</v>
      </c>
      <c r="E80" s="2">
        <f>SUM(E81:E83)</f>
        <v>0</v>
      </c>
      <c r="F80" s="2">
        <f>SUM(F81:F85)</f>
        <v>3888</v>
      </c>
      <c r="G80" s="2"/>
      <c r="H80" s="2"/>
      <c r="I80" s="2"/>
      <c r="J80" s="2"/>
      <c r="K80" s="2">
        <f t="shared" si="4"/>
        <v>3888</v>
      </c>
      <c r="L80" s="19"/>
    </row>
    <row r="81" spans="1:13" ht="12.75">
      <c r="A81" s="31">
        <v>250100</v>
      </c>
      <c r="B81" s="22" t="s">
        <v>59</v>
      </c>
      <c r="C81" s="23">
        <f t="shared" si="3"/>
        <v>3500</v>
      </c>
      <c r="D81" s="23"/>
      <c r="E81" s="23"/>
      <c r="F81" s="23">
        <v>3500</v>
      </c>
      <c r="G81" s="23"/>
      <c r="H81" s="23"/>
      <c r="I81" s="23"/>
      <c r="J81" s="23"/>
      <c r="K81" s="23">
        <f t="shared" si="4"/>
        <v>3500</v>
      </c>
      <c r="L81" s="12"/>
      <c r="M81" s="20"/>
    </row>
    <row r="82" spans="1:13" ht="26.25">
      <c r="A82" s="31">
        <v>250203</v>
      </c>
      <c r="B82" s="22" t="s">
        <v>195</v>
      </c>
      <c r="C82" s="23">
        <f t="shared" si="3"/>
        <v>163</v>
      </c>
      <c r="D82" s="23"/>
      <c r="E82" s="23"/>
      <c r="F82" s="23">
        <v>163</v>
      </c>
      <c r="G82" s="23"/>
      <c r="H82" s="23"/>
      <c r="I82" s="23"/>
      <c r="J82" s="23"/>
      <c r="K82" s="23">
        <f t="shared" si="4"/>
        <v>163</v>
      </c>
      <c r="L82" s="12"/>
      <c r="M82" s="20"/>
    </row>
    <row r="83" spans="1:13" ht="12.75" hidden="1">
      <c r="A83" s="31">
        <v>250404</v>
      </c>
      <c r="B83" s="22" t="s">
        <v>32</v>
      </c>
      <c r="C83" s="23">
        <f t="shared" si="3"/>
        <v>0</v>
      </c>
      <c r="D83" s="23"/>
      <c r="E83" s="23"/>
      <c r="F83" s="23"/>
      <c r="G83" s="23"/>
      <c r="H83" s="23"/>
      <c r="I83" s="23"/>
      <c r="J83" s="23"/>
      <c r="K83" s="23">
        <f t="shared" si="4"/>
        <v>0</v>
      </c>
      <c r="L83" s="12"/>
      <c r="M83" s="20"/>
    </row>
    <row r="84" spans="1:12" s="20" customFormat="1" ht="28.5" customHeight="1" hidden="1">
      <c r="A84" s="35"/>
      <c r="B84" s="3"/>
      <c r="C84" s="2"/>
      <c r="D84" s="2"/>
      <c r="E84" s="2"/>
      <c r="F84" s="4"/>
      <c r="G84" s="2"/>
      <c r="H84" s="2"/>
      <c r="I84" s="2"/>
      <c r="J84" s="2"/>
      <c r="K84" s="4">
        <f t="shared" si="4"/>
        <v>0</v>
      </c>
      <c r="L84" s="19"/>
    </row>
    <row r="85" spans="1:13" ht="12.75">
      <c r="A85" s="31">
        <v>250404</v>
      </c>
      <c r="B85" s="22" t="s">
        <v>211</v>
      </c>
      <c r="C85" s="23">
        <f t="shared" si="3"/>
        <v>225</v>
      </c>
      <c r="D85" s="23"/>
      <c r="E85" s="23"/>
      <c r="F85" s="23">
        <v>225</v>
      </c>
      <c r="G85" s="23"/>
      <c r="H85" s="23"/>
      <c r="I85" s="23"/>
      <c r="J85" s="23"/>
      <c r="K85" s="23"/>
      <c r="L85" s="12"/>
      <c r="M85" s="20"/>
    </row>
    <row r="86" spans="1:13" s="20" customFormat="1" ht="12.75">
      <c r="A86" s="35"/>
      <c r="B86" s="25" t="s">
        <v>60</v>
      </c>
      <c r="C86" s="4">
        <f>D86+E86+F86+G86</f>
        <v>412030.7</v>
      </c>
      <c r="D86" s="4">
        <f>D80+D73+D72+D71+D70+D62+D58+D57+D51+D47+D41+D26+D25+D24+D15+D13+D40+D84</f>
        <v>120796.79999999999</v>
      </c>
      <c r="E86" s="4">
        <f aca="true" t="shared" si="5" ref="E86:J86">E80+E73+E72+E71+E70+E62+E58+E57+E51+E47+E41+E26+E25+E24+E15+E13+E40+E84</f>
        <v>30078.2</v>
      </c>
      <c r="F86" s="4">
        <f>F80+F73+F72+F71+F70+F69+F62+F58+F57+F51+F47+F41+F26+F25+F24+F15+F13+F40+F84</f>
        <v>225811.4</v>
      </c>
      <c r="G86" s="4">
        <f t="shared" si="5"/>
        <v>35344.3</v>
      </c>
      <c r="H86" s="4">
        <f t="shared" si="5"/>
        <v>105800.9</v>
      </c>
      <c r="I86" s="4">
        <f t="shared" si="5"/>
        <v>39061</v>
      </c>
      <c r="J86" s="4">
        <f t="shared" si="5"/>
        <v>1730</v>
      </c>
      <c r="K86" s="4">
        <f t="shared" si="4"/>
        <v>517831.6</v>
      </c>
      <c r="L86" s="19"/>
      <c r="M86" s="91"/>
    </row>
    <row r="87" spans="1:12" s="20" customFormat="1" ht="28.5" customHeight="1">
      <c r="A87" s="35"/>
      <c r="B87" s="3" t="s">
        <v>112</v>
      </c>
      <c r="C87" s="2">
        <f>D87+E87+F87</f>
        <v>380512.3</v>
      </c>
      <c r="D87" s="2"/>
      <c r="E87" s="2"/>
      <c r="F87" s="4">
        <v>380512.3</v>
      </c>
      <c r="G87" s="2"/>
      <c r="H87" s="2"/>
      <c r="I87" s="2"/>
      <c r="J87" s="2"/>
      <c r="K87" s="4">
        <f>C87+H87</f>
        <v>380512.3</v>
      </c>
      <c r="L87" s="19"/>
    </row>
    <row r="88" spans="1:13" ht="26.25">
      <c r="A88" s="31">
        <v>250306</v>
      </c>
      <c r="B88" s="22" t="s">
        <v>134</v>
      </c>
      <c r="C88" s="23">
        <f t="shared" si="3"/>
        <v>13372.2</v>
      </c>
      <c r="D88" s="2"/>
      <c r="E88" s="2"/>
      <c r="F88" s="23">
        <f>7890+5482.2</f>
        <v>13372.2</v>
      </c>
      <c r="G88" s="2"/>
      <c r="H88" s="2"/>
      <c r="I88" s="2"/>
      <c r="J88" s="2"/>
      <c r="K88" s="23">
        <f t="shared" si="4"/>
        <v>13372.2</v>
      </c>
      <c r="L88" s="12"/>
      <c r="M88" s="20"/>
    </row>
    <row r="89" spans="1:13" ht="52.5">
      <c r="A89" s="31">
        <v>250313</v>
      </c>
      <c r="B89" s="22" t="s">
        <v>103</v>
      </c>
      <c r="C89" s="23">
        <f t="shared" si="3"/>
        <v>13705.5</v>
      </c>
      <c r="D89" s="23"/>
      <c r="E89" s="23"/>
      <c r="F89" s="23">
        <v>13705.5</v>
      </c>
      <c r="G89" s="23"/>
      <c r="H89" s="23"/>
      <c r="I89" s="23"/>
      <c r="J89" s="23"/>
      <c r="K89" s="23">
        <f t="shared" si="4"/>
        <v>13705.5</v>
      </c>
      <c r="L89" s="12"/>
      <c r="M89" s="20"/>
    </row>
    <row r="90" spans="1:13" ht="26.25">
      <c r="A90" s="31">
        <v>250301</v>
      </c>
      <c r="B90" s="42" t="s">
        <v>135</v>
      </c>
      <c r="C90" s="23">
        <f t="shared" si="3"/>
        <v>62744.8</v>
      </c>
      <c r="D90" s="23"/>
      <c r="E90" s="23"/>
      <c r="F90" s="23">
        <v>62744.8</v>
      </c>
      <c r="G90" s="23"/>
      <c r="H90" s="23"/>
      <c r="I90" s="23"/>
      <c r="J90" s="23"/>
      <c r="K90" s="23">
        <f t="shared" si="4"/>
        <v>62744.8</v>
      </c>
      <c r="L90" s="12"/>
      <c r="M90" s="20"/>
    </row>
    <row r="91" spans="1:13" ht="39" hidden="1">
      <c r="A91" s="31">
        <v>250331</v>
      </c>
      <c r="B91" s="42" t="s">
        <v>102</v>
      </c>
      <c r="C91" s="23">
        <f>D91+E91+F91</f>
        <v>0</v>
      </c>
      <c r="D91" s="23"/>
      <c r="E91" s="23"/>
      <c r="F91" s="23"/>
      <c r="G91" s="23"/>
      <c r="H91" s="23"/>
      <c r="I91" s="23"/>
      <c r="J91" s="23"/>
      <c r="K91" s="23">
        <f>C91+H91</f>
        <v>0</v>
      </c>
      <c r="L91" s="12"/>
      <c r="M91" s="20"/>
    </row>
    <row r="92" spans="1:13" s="20" customFormat="1" ht="12.75">
      <c r="A92" s="43"/>
      <c r="B92" s="25" t="s">
        <v>61</v>
      </c>
      <c r="C92" s="2">
        <f>D92+E92+F92+G92</f>
        <v>882365.5</v>
      </c>
      <c r="D92" s="2">
        <f>D86+D89+D91</f>
        <v>120796.79999999999</v>
      </c>
      <c r="E92" s="2">
        <f>E86+E89+E91</f>
        <v>30078.2</v>
      </c>
      <c r="F92" s="4">
        <f>F86+F89+F91+F90+F88+F87</f>
        <v>696146.2</v>
      </c>
      <c r="G92" s="2">
        <f>G86+G89+G91+G90+G88</f>
        <v>35344.3</v>
      </c>
      <c r="H92" s="4">
        <f>H86+H89+H91</f>
        <v>105800.9</v>
      </c>
      <c r="I92" s="4">
        <f>I86+I89+I91</f>
        <v>39061</v>
      </c>
      <c r="J92" s="2">
        <f>J86+J89+J91</f>
        <v>1730</v>
      </c>
      <c r="K92" s="4">
        <f t="shared" si="4"/>
        <v>988166.4</v>
      </c>
      <c r="L92" s="19"/>
      <c r="M92" s="91"/>
    </row>
    <row r="94" ht="12.75" hidden="1">
      <c r="C94" s="44">
        <f>95956.9+30441.4+36378.8+201060.6+C92</f>
        <v>1246203.2</v>
      </c>
    </row>
    <row r="96" ht="12.75">
      <c r="D96" s="44"/>
    </row>
  </sheetData>
  <mergeCells count="13">
    <mergeCell ref="K9:K11"/>
    <mergeCell ref="B9:B11"/>
    <mergeCell ref="E1:H1"/>
    <mergeCell ref="A6:H6"/>
    <mergeCell ref="A9:A11"/>
    <mergeCell ref="A7:H7"/>
    <mergeCell ref="C10:C11"/>
    <mergeCell ref="C9:G9"/>
    <mergeCell ref="D10:G10"/>
    <mergeCell ref="H9:J9"/>
    <mergeCell ref="J10:J11"/>
    <mergeCell ref="H10:H11"/>
    <mergeCell ref="E3:I3"/>
  </mergeCells>
  <printOptions/>
  <pageMargins left="0.12" right="0.18" top="0.15748031496062992" bottom="0.31496062992125984" header="0.15748031496062992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14"/>
  <sheetViews>
    <sheetView workbookViewId="0" topLeftCell="A28">
      <selection activeCell="H31" sqref="H31"/>
    </sheetView>
  </sheetViews>
  <sheetFormatPr defaultColWidth="9.00390625" defaultRowHeight="12.75"/>
  <cols>
    <col min="1" max="1" width="7.375" style="97" customWidth="1"/>
    <col min="2" max="2" width="26.25390625" style="6" customWidth="1"/>
    <col min="3" max="3" width="8.75390625" style="7" customWidth="1"/>
    <col min="4" max="4" width="8.50390625" style="7" customWidth="1"/>
    <col min="5" max="5" width="9.625" style="7" customWidth="1"/>
    <col min="6" max="6" width="9.75390625" style="7" customWidth="1"/>
    <col min="7" max="7" width="8.625" style="7" customWidth="1"/>
    <col min="8" max="8" width="8.875" style="7" customWidth="1"/>
    <col min="9" max="9" width="7.625" style="7" customWidth="1"/>
    <col min="10" max="10" width="6.75390625" style="7" customWidth="1"/>
    <col min="11" max="11" width="9.125" style="7" customWidth="1"/>
    <col min="12" max="59" width="8.875" style="45" customWidth="1"/>
    <col min="60" max="16384" width="8.875" style="7" customWidth="1"/>
  </cols>
  <sheetData>
    <row r="1" spans="6:11" ht="12.75" customHeight="1" hidden="1">
      <c r="F1" s="191"/>
      <c r="G1" s="191"/>
      <c r="H1" s="191"/>
      <c r="I1" s="191"/>
      <c r="J1" s="191"/>
      <c r="K1" s="191"/>
    </row>
    <row r="2" spans="6:11" ht="12.75" customHeight="1" hidden="1">
      <c r="F2" s="9"/>
      <c r="G2" s="9"/>
      <c r="H2" s="9"/>
      <c r="I2" s="9"/>
      <c r="J2" s="9"/>
      <c r="K2" s="9"/>
    </row>
    <row r="3" spans="6:11" ht="12.75" customHeight="1" hidden="1">
      <c r="F3" s="98" t="s">
        <v>224</v>
      </c>
      <c r="G3" s="98"/>
      <c r="H3" s="98"/>
      <c r="I3" s="98"/>
      <c r="J3" s="98"/>
      <c r="K3" s="98"/>
    </row>
    <row r="4" spans="5:11" ht="12.75">
      <c r="E4" s="8" t="s">
        <v>185</v>
      </c>
      <c r="H4" s="228" t="s">
        <v>186</v>
      </c>
      <c r="I4" s="228"/>
      <c r="J4" s="228"/>
      <c r="K4" s="228"/>
    </row>
    <row r="5" spans="8:11" ht="12.75">
      <c r="H5" s="9" t="s">
        <v>114</v>
      </c>
      <c r="I5" s="50"/>
      <c r="J5" s="50"/>
      <c r="K5" s="50"/>
    </row>
    <row r="6" spans="8:11" ht="13.5" customHeight="1">
      <c r="H6" s="191" t="s">
        <v>187</v>
      </c>
      <c r="I6" s="191"/>
      <c r="J6" s="191"/>
      <c r="K6" s="191"/>
    </row>
    <row r="7" ht="13.5" customHeight="1"/>
    <row r="8" spans="1:11" ht="15">
      <c r="A8" s="209" t="s">
        <v>212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</row>
    <row r="9" spans="1:11" ht="15" customHeight="1">
      <c r="A9" s="209" t="s">
        <v>62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</row>
    <row r="10" spans="8:11" ht="13.5" thickBot="1">
      <c r="H10" s="192" t="s">
        <v>0</v>
      </c>
      <c r="I10" s="192"/>
      <c r="J10" s="192"/>
      <c r="K10" s="192"/>
    </row>
    <row r="11" spans="1:11" ht="24.75" customHeight="1" thickBot="1">
      <c r="A11" s="193" t="s">
        <v>1</v>
      </c>
      <c r="B11" s="222" t="s">
        <v>63</v>
      </c>
      <c r="C11" s="225" t="s">
        <v>2</v>
      </c>
      <c r="D11" s="226"/>
      <c r="E11" s="226"/>
      <c r="F11" s="226"/>
      <c r="G11" s="227"/>
      <c r="H11" s="198" t="s">
        <v>91</v>
      </c>
      <c r="I11" s="199"/>
      <c r="J11" s="200"/>
      <c r="K11" s="201" t="s">
        <v>92</v>
      </c>
    </row>
    <row r="12" spans="1:11" ht="40.5" customHeight="1" thickBot="1">
      <c r="A12" s="194"/>
      <c r="B12" s="223"/>
      <c r="C12" s="220" t="s">
        <v>4</v>
      </c>
      <c r="D12" s="225" t="s">
        <v>90</v>
      </c>
      <c r="E12" s="226"/>
      <c r="F12" s="226"/>
      <c r="G12" s="227"/>
      <c r="H12" s="220" t="s">
        <v>4</v>
      </c>
      <c r="I12" s="69" t="s">
        <v>110</v>
      </c>
      <c r="J12" s="201" t="s">
        <v>193</v>
      </c>
      <c r="K12" s="219"/>
    </row>
    <row r="13" spans="1:11" ht="96" customHeight="1" thickBot="1">
      <c r="A13" s="218"/>
      <c r="B13" s="224"/>
      <c r="C13" s="221"/>
      <c r="D13" s="69" t="s">
        <v>88</v>
      </c>
      <c r="E13" s="69" t="s">
        <v>89</v>
      </c>
      <c r="F13" s="69" t="s">
        <v>87</v>
      </c>
      <c r="G13" s="69" t="s">
        <v>191</v>
      </c>
      <c r="H13" s="221"/>
      <c r="I13" s="69" t="s">
        <v>111</v>
      </c>
      <c r="J13" s="202"/>
      <c r="K13" s="202"/>
    </row>
    <row r="14" spans="1:11" ht="13.5" thickBot="1">
      <c r="A14" s="143">
        <v>1</v>
      </c>
      <c r="B14" s="144">
        <v>2</v>
      </c>
      <c r="C14" s="145">
        <v>3</v>
      </c>
      <c r="D14" s="145">
        <v>4</v>
      </c>
      <c r="E14" s="145">
        <v>5</v>
      </c>
      <c r="F14" s="145">
        <v>6</v>
      </c>
      <c r="G14" s="145">
        <v>7</v>
      </c>
      <c r="H14" s="145">
        <v>8</v>
      </c>
      <c r="I14" s="145">
        <v>9</v>
      </c>
      <c r="J14" s="145">
        <v>10</v>
      </c>
      <c r="K14" s="145">
        <v>11</v>
      </c>
    </row>
    <row r="15" spans="1:59" s="101" customFormat="1" ht="15" customHeight="1">
      <c r="A15" s="141"/>
      <c r="B15" s="129" t="s">
        <v>64</v>
      </c>
      <c r="C15" s="142">
        <f aca="true" t="shared" si="0" ref="C15:C48">D15+E15+F15+G15</f>
        <v>7123</v>
      </c>
      <c r="D15" s="142">
        <f aca="true" t="shared" si="1" ref="D15:I15">SUM(D16:D20)</f>
        <v>394.5</v>
      </c>
      <c r="E15" s="142">
        <f t="shared" si="1"/>
        <v>787.4</v>
      </c>
      <c r="F15" s="142">
        <f t="shared" si="1"/>
        <v>5941.1</v>
      </c>
      <c r="G15" s="142">
        <f t="shared" si="1"/>
        <v>0</v>
      </c>
      <c r="H15" s="142">
        <f t="shared" si="1"/>
        <v>0</v>
      </c>
      <c r="I15" s="142">
        <f t="shared" si="1"/>
        <v>0</v>
      </c>
      <c r="J15" s="142"/>
      <c r="K15" s="2">
        <f aca="true" t="shared" si="2" ref="K15:K22">C15+H15</f>
        <v>7123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</row>
    <row r="16" spans="1:59" ht="25.5" customHeight="1">
      <c r="A16" s="102" t="s">
        <v>6</v>
      </c>
      <c r="B16" s="103" t="s">
        <v>7</v>
      </c>
      <c r="C16" s="104">
        <f t="shared" si="0"/>
        <v>5813</v>
      </c>
      <c r="D16" s="23">
        <v>394.5</v>
      </c>
      <c r="E16" s="23">
        <v>787.4</v>
      </c>
      <c r="F16" s="23">
        <v>4631.1</v>
      </c>
      <c r="G16" s="23"/>
      <c r="H16" s="23"/>
      <c r="I16" s="23"/>
      <c r="J16" s="23"/>
      <c r="K16" s="23">
        <f t="shared" si="2"/>
        <v>5813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</row>
    <row r="17" spans="1:59" ht="26.25" customHeight="1">
      <c r="A17" s="102" t="s">
        <v>225</v>
      </c>
      <c r="B17" s="103" t="s">
        <v>213</v>
      </c>
      <c r="C17" s="104">
        <f t="shared" si="0"/>
        <v>36</v>
      </c>
      <c r="D17" s="23"/>
      <c r="E17" s="23"/>
      <c r="F17" s="23">
        <v>36</v>
      </c>
      <c r="G17" s="23"/>
      <c r="H17" s="23"/>
      <c r="I17" s="23"/>
      <c r="J17" s="23"/>
      <c r="K17" s="23">
        <f t="shared" si="2"/>
        <v>36</v>
      </c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</row>
    <row r="18" spans="1:59" ht="12" customHeight="1">
      <c r="A18" s="102" t="s">
        <v>31</v>
      </c>
      <c r="B18" s="103" t="s">
        <v>32</v>
      </c>
      <c r="C18" s="104">
        <f t="shared" si="0"/>
        <v>27</v>
      </c>
      <c r="D18" s="23"/>
      <c r="E18" s="23"/>
      <c r="F18" s="23">
        <v>27</v>
      </c>
      <c r="G18" s="23"/>
      <c r="H18" s="23"/>
      <c r="I18" s="23"/>
      <c r="J18" s="23"/>
      <c r="K18" s="23">
        <f t="shared" si="2"/>
        <v>27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</row>
    <row r="19" spans="1:59" ht="13.5" customHeight="1">
      <c r="A19" s="102">
        <v>250404</v>
      </c>
      <c r="B19" s="103" t="s">
        <v>214</v>
      </c>
      <c r="C19" s="104">
        <f t="shared" si="0"/>
        <v>225</v>
      </c>
      <c r="D19" s="23"/>
      <c r="E19" s="23"/>
      <c r="F19" s="23">
        <v>225</v>
      </c>
      <c r="G19" s="23"/>
      <c r="H19" s="23"/>
      <c r="I19" s="23"/>
      <c r="J19" s="23"/>
      <c r="K19" s="23">
        <f t="shared" si="2"/>
        <v>225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</row>
    <row r="20" spans="1:59" ht="39" customHeight="1">
      <c r="A20" s="102">
        <v>180109</v>
      </c>
      <c r="B20" s="22" t="s">
        <v>118</v>
      </c>
      <c r="C20" s="104">
        <f>D20+E20+F20+G20</f>
        <v>1022</v>
      </c>
      <c r="D20" s="23"/>
      <c r="E20" s="23"/>
      <c r="F20" s="23">
        <f>4960-3938</f>
        <v>1022</v>
      </c>
      <c r="G20" s="23"/>
      <c r="H20" s="23"/>
      <c r="I20" s="23"/>
      <c r="J20" s="23"/>
      <c r="K20" s="23">
        <f t="shared" si="2"/>
        <v>1022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</row>
    <row r="21" spans="1:59" ht="15" customHeight="1">
      <c r="A21" s="102"/>
      <c r="B21" s="25" t="s">
        <v>231</v>
      </c>
      <c r="C21" s="99">
        <f>D21+E21+F21+G21</f>
        <v>3938</v>
      </c>
      <c r="D21" s="2"/>
      <c r="E21" s="2"/>
      <c r="F21" s="2">
        <f>F22</f>
        <v>3938</v>
      </c>
      <c r="G21" s="2"/>
      <c r="H21" s="2"/>
      <c r="I21" s="2"/>
      <c r="J21" s="2"/>
      <c r="K21" s="2">
        <f t="shared" si="2"/>
        <v>3938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</row>
    <row r="22" spans="1:59" ht="42" customHeight="1">
      <c r="A22" s="102" t="s">
        <v>232</v>
      </c>
      <c r="B22" s="22" t="s">
        <v>118</v>
      </c>
      <c r="C22" s="104">
        <f>D22+E22+F22+G22</f>
        <v>3938</v>
      </c>
      <c r="D22" s="23"/>
      <c r="E22" s="23"/>
      <c r="F22" s="23">
        <v>3938</v>
      </c>
      <c r="G22" s="23"/>
      <c r="H22" s="23"/>
      <c r="I22" s="23"/>
      <c r="J22" s="23"/>
      <c r="K22" s="23">
        <f t="shared" si="2"/>
        <v>3938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</row>
    <row r="23" spans="1:12" s="20" customFormat="1" ht="27" customHeight="1">
      <c r="A23" s="24"/>
      <c r="B23" s="25" t="s">
        <v>65</v>
      </c>
      <c r="C23" s="99">
        <f t="shared" si="0"/>
        <v>73139.7</v>
      </c>
      <c r="D23" s="2">
        <f aca="true" t="shared" si="3" ref="D23:I23">SUM(D24:D29)</f>
        <v>27658.1</v>
      </c>
      <c r="E23" s="2">
        <f t="shared" si="3"/>
        <v>7365.6</v>
      </c>
      <c r="F23" s="2">
        <f t="shared" si="3"/>
        <v>32045.699999999997</v>
      </c>
      <c r="G23" s="2">
        <f t="shared" si="3"/>
        <v>6070.3</v>
      </c>
      <c r="H23" s="2">
        <f t="shared" si="3"/>
        <v>1108.8</v>
      </c>
      <c r="I23" s="2">
        <f t="shared" si="3"/>
        <v>0</v>
      </c>
      <c r="J23" s="2"/>
      <c r="K23" s="2">
        <f aca="true" t="shared" si="4" ref="K23:K32">C23+H23</f>
        <v>74248.5</v>
      </c>
      <c r="L23" s="19"/>
    </row>
    <row r="24" spans="1:59" ht="27" customHeight="1">
      <c r="A24" s="21" t="s">
        <v>24</v>
      </c>
      <c r="B24" s="22" t="s">
        <v>65</v>
      </c>
      <c r="C24" s="104">
        <f t="shared" si="0"/>
        <v>72504.8</v>
      </c>
      <c r="D24" s="34">
        <v>27356.6</v>
      </c>
      <c r="E24" s="34">
        <v>7312.1</v>
      </c>
      <c r="F24" s="34">
        <f>31429.8+300+36</f>
        <v>31765.8</v>
      </c>
      <c r="G24" s="34">
        <v>6070.3</v>
      </c>
      <c r="H24" s="34">
        <v>930.1</v>
      </c>
      <c r="I24" s="23"/>
      <c r="J24" s="23"/>
      <c r="K24" s="23">
        <f t="shared" si="4"/>
        <v>73434.90000000001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</row>
    <row r="25" spans="1:59" ht="0.75" customHeight="1" hidden="1">
      <c r="A25" s="106"/>
      <c r="B25" s="107"/>
      <c r="C25" s="104">
        <f t="shared" si="0"/>
        <v>0</v>
      </c>
      <c r="D25" s="34"/>
      <c r="E25" s="34"/>
      <c r="F25" s="34"/>
      <c r="G25" s="34"/>
      <c r="H25" s="34"/>
      <c r="I25" s="23"/>
      <c r="J25" s="23"/>
      <c r="K25" s="23">
        <f t="shared" si="4"/>
        <v>0</v>
      </c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</row>
    <row r="26" spans="1:59" ht="27" customHeight="1" hidden="1">
      <c r="A26" s="108"/>
      <c r="B26" s="109"/>
      <c r="C26" s="104">
        <f t="shared" si="0"/>
        <v>0</v>
      </c>
      <c r="D26" s="34"/>
      <c r="E26" s="34"/>
      <c r="F26" s="34"/>
      <c r="G26" s="34"/>
      <c r="H26" s="34"/>
      <c r="I26" s="23"/>
      <c r="J26" s="23"/>
      <c r="K26" s="23">
        <f t="shared" si="4"/>
        <v>0</v>
      </c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</row>
    <row r="27" spans="1:59" ht="40.5" customHeight="1">
      <c r="A27" s="110">
        <v>130000</v>
      </c>
      <c r="B27" s="42" t="s">
        <v>66</v>
      </c>
      <c r="C27" s="104">
        <f t="shared" si="0"/>
        <v>305.40000000000003</v>
      </c>
      <c r="D27" s="34">
        <v>155.8</v>
      </c>
      <c r="E27" s="34">
        <v>6.3</v>
      </c>
      <c r="F27" s="34">
        <v>143.3</v>
      </c>
      <c r="G27" s="34"/>
      <c r="H27" s="34"/>
      <c r="I27" s="23"/>
      <c r="J27" s="23"/>
      <c r="K27" s="23">
        <f t="shared" si="4"/>
        <v>305.40000000000003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</row>
    <row r="28" spans="1:59" ht="39" customHeight="1">
      <c r="A28" s="110" t="s">
        <v>225</v>
      </c>
      <c r="B28" s="42" t="s">
        <v>215</v>
      </c>
      <c r="C28" s="104">
        <f t="shared" si="0"/>
        <v>79.5</v>
      </c>
      <c r="D28" s="34"/>
      <c r="E28" s="34"/>
      <c r="F28" s="34">
        <v>79.5</v>
      </c>
      <c r="G28" s="34"/>
      <c r="H28" s="34"/>
      <c r="I28" s="23"/>
      <c r="J28" s="23"/>
      <c r="K28" s="23">
        <f t="shared" si="4"/>
        <v>79.5</v>
      </c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</row>
    <row r="29" spans="1:59" ht="41.25" customHeight="1">
      <c r="A29" s="110" t="s">
        <v>226</v>
      </c>
      <c r="B29" s="42" t="s">
        <v>68</v>
      </c>
      <c r="C29" s="104">
        <f t="shared" si="0"/>
        <v>249.99999999999997</v>
      </c>
      <c r="D29" s="34">
        <v>145.7</v>
      </c>
      <c r="E29" s="34">
        <v>47.2</v>
      </c>
      <c r="F29" s="111">
        <v>57.1</v>
      </c>
      <c r="G29" s="111"/>
      <c r="H29" s="34">
        <v>178.7</v>
      </c>
      <c r="I29" s="23"/>
      <c r="J29" s="23"/>
      <c r="K29" s="23">
        <f t="shared" si="4"/>
        <v>428.69999999999993</v>
      </c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</row>
    <row r="30" spans="1:59" s="20" customFormat="1" ht="27" customHeight="1">
      <c r="A30" s="24"/>
      <c r="B30" s="112" t="s">
        <v>69</v>
      </c>
      <c r="C30" s="99">
        <f t="shared" si="0"/>
        <v>196415.00000000003</v>
      </c>
      <c r="D30" s="113">
        <f>D31+D32+D34+D35</f>
        <v>72959.2</v>
      </c>
      <c r="E30" s="113">
        <f>E31+E32+E34+E35</f>
        <v>16240.400000000001</v>
      </c>
      <c r="F30" s="113">
        <f>F31+F32+F34+F35</f>
        <v>96488.8</v>
      </c>
      <c r="G30" s="113">
        <f>G31+G32+G34+G35+G33</f>
        <v>10726.6</v>
      </c>
      <c r="H30" s="113">
        <f>H31+H32+H34+H35</f>
        <v>8709.7</v>
      </c>
      <c r="I30" s="2"/>
      <c r="J30" s="2"/>
      <c r="K30" s="2">
        <f t="shared" si="4"/>
        <v>205124.70000000004</v>
      </c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</row>
    <row r="31" spans="1:59" ht="31.5" customHeight="1">
      <c r="A31" s="21" t="s">
        <v>25</v>
      </c>
      <c r="B31" s="115" t="s">
        <v>70</v>
      </c>
      <c r="C31" s="104">
        <f t="shared" si="0"/>
        <v>172517.4</v>
      </c>
      <c r="D31" s="34">
        <v>70800.2</v>
      </c>
      <c r="E31" s="34">
        <v>15800</v>
      </c>
      <c r="F31" s="111">
        <v>85917.2</v>
      </c>
      <c r="G31" s="40"/>
      <c r="H31" s="23">
        <v>6120.9</v>
      </c>
      <c r="I31" s="23"/>
      <c r="J31" s="23"/>
      <c r="K31" s="23">
        <f t="shared" si="4"/>
        <v>178638.3</v>
      </c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</row>
    <row r="32" spans="1:59" ht="26.25">
      <c r="A32" s="21"/>
      <c r="B32" s="116" t="s">
        <v>71</v>
      </c>
      <c r="C32" s="104">
        <f t="shared" si="0"/>
        <v>7769</v>
      </c>
      <c r="D32" s="34"/>
      <c r="E32" s="34"/>
      <c r="F32" s="34">
        <v>7769</v>
      </c>
      <c r="G32" s="34"/>
      <c r="H32" s="34"/>
      <c r="I32" s="23"/>
      <c r="J32" s="23"/>
      <c r="K32" s="23">
        <f t="shared" si="4"/>
        <v>7769</v>
      </c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</row>
    <row r="33" spans="1:59" ht="26.25">
      <c r="A33" s="117"/>
      <c r="B33" s="37" t="s">
        <v>216</v>
      </c>
      <c r="C33" s="118">
        <f t="shared" si="0"/>
        <v>10726.6</v>
      </c>
      <c r="D33" s="34"/>
      <c r="E33" s="34"/>
      <c r="F33" s="34"/>
      <c r="G33" s="34">
        <v>10726.6</v>
      </c>
      <c r="H33" s="34"/>
      <c r="I33" s="23"/>
      <c r="J33" s="23"/>
      <c r="K33" s="23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</row>
    <row r="34" spans="1:59" ht="66" customHeight="1">
      <c r="A34" s="110" t="s">
        <v>24</v>
      </c>
      <c r="B34" s="119" t="s">
        <v>72</v>
      </c>
      <c r="C34" s="104">
        <f t="shared" si="0"/>
        <v>5057</v>
      </c>
      <c r="D34" s="34">
        <v>2080.2</v>
      </c>
      <c r="E34" s="34">
        <v>429.7</v>
      </c>
      <c r="F34" s="34">
        <v>2547.1</v>
      </c>
      <c r="G34" s="34"/>
      <c r="H34" s="34">
        <v>2588.8</v>
      </c>
      <c r="I34" s="23"/>
      <c r="J34" s="23"/>
      <c r="K34" s="23">
        <f aca="true" t="shared" si="5" ref="K34:K45">C34+H34</f>
        <v>7645.8</v>
      </c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</row>
    <row r="35" spans="1:59" ht="12.75" customHeight="1">
      <c r="A35" s="21">
        <v>110201</v>
      </c>
      <c r="B35" s="115" t="s">
        <v>73</v>
      </c>
      <c r="C35" s="104">
        <f t="shared" si="0"/>
        <v>345</v>
      </c>
      <c r="D35" s="34">
        <v>78.8</v>
      </c>
      <c r="E35" s="34">
        <v>10.7</v>
      </c>
      <c r="F35" s="34">
        <v>255.5</v>
      </c>
      <c r="G35" s="34"/>
      <c r="H35" s="34"/>
      <c r="I35" s="23"/>
      <c r="J35" s="23"/>
      <c r="K35" s="23">
        <f t="shared" si="5"/>
        <v>345</v>
      </c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</row>
    <row r="36" spans="1:59" s="20" customFormat="1" ht="39" customHeight="1">
      <c r="A36" s="24"/>
      <c r="B36" s="112" t="s">
        <v>74</v>
      </c>
      <c r="C36" s="99">
        <f t="shared" si="0"/>
        <v>36967.9</v>
      </c>
      <c r="D36" s="120">
        <f>SUM(D37:D43)</f>
        <v>10773.4</v>
      </c>
      <c r="E36" s="120">
        <f>SUM(E37:E43)</f>
        <v>4144</v>
      </c>
      <c r="F36" s="120">
        <f>SUM(F37:F43)</f>
        <v>22014.4</v>
      </c>
      <c r="G36" s="120">
        <f>SUM(G37:G43)</f>
        <v>36.1</v>
      </c>
      <c r="H36" s="120">
        <f>SUM(H37:H43)</f>
        <v>2114.2999999999997</v>
      </c>
      <c r="I36" s="2"/>
      <c r="J36" s="2"/>
      <c r="K36" s="2">
        <f t="shared" si="5"/>
        <v>39082.200000000004</v>
      </c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</row>
    <row r="37" spans="1:59" ht="26.25">
      <c r="A37" s="21" t="s">
        <v>97</v>
      </c>
      <c r="B37" s="22" t="s">
        <v>98</v>
      </c>
      <c r="C37" s="104">
        <f t="shared" si="0"/>
        <v>3.3</v>
      </c>
      <c r="D37" s="23"/>
      <c r="E37" s="23"/>
      <c r="F37" s="23">
        <v>3.3</v>
      </c>
      <c r="G37" s="23"/>
      <c r="H37" s="34"/>
      <c r="I37" s="23"/>
      <c r="J37" s="23"/>
      <c r="K37" s="23">
        <f t="shared" si="5"/>
        <v>3.3</v>
      </c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</row>
    <row r="38" spans="1:59" ht="15" customHeight="1">
      <c r="A38" s="21" t="s">
        <v>31</v>
      </c>
      <c r="B38" s="22" t="s">
        <v>32</v>
      </c>
      <c r="C38" s="104">
        <f t="shared" si="0"/>
        <v>507.1</v>
      </c>
      <c r="D38" s="23"/>
      <c r="E38" s="23"/>
      <c r="F38" s="23">
        <v>471</v>
      </c>
      <c r="G38" s="23">
        <v>36.1</v>
      </c>
      <c r="H38" s="34"/>
      <c r="I38" s="23"/>
      <c r="J38" s="23"/>
      <c r="K38" s="23">
        <f t="shared" si="5"/>
        <v>507.1</v>
      </c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</row>
    <row r="39" spans="1:59" ht="37.5" customHeight="1">
      <c r="A39" s="110" t="s">
        <v>33</v>
      </c>
      <c r="B39" s="22" t="s">
        <v>209</v>
      </c>
      <c r="C39" s="104">
        <f t="shared" si="0"/>
        <v>414.9</v>
      </c>
      <c r="D39" s="23"/>
      <c r="E39" s="23"/>
      <c r="F39" s="23">
        <v>414.9</v>
      </c>
      <c r="G39" s="23"/>
      <c r="H39" s="34"/>
      <c r="I39" s="23"/>
      <c r="J39" s="23"/>
      <c r="K39" s="23">
        <f t="shared" si="5"/>
        <v>414.9</v>
      </c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</row>
    <row r="40" spans="1:59" ht="56.25" customHeight="1">
      <c r="A40" s="121" t="s">
        <v>227</v>
      </c>
      <c r="B40" s="37" t="s">
        <v>202</v>
      </c>
      <c r="C40" s="104">
        <f t="shared" si="0"/>
        <v>33055</v>
      </c>
      <c r="D40" s="40">
        <v>10243.5</v>
      </c>
      <c r="E40" s="23">
        <v>4091.9</v>
      </c>
      <c r="F40" s="23">
        <f>18416.9+418.2-115.5</f>
        <v>18719.600000000002</v>
      </c>
      <c r="G40" s="23"/>
      <c r="H40" s="23">
        <f>1618.6+92.3</f>
        <v>1710.8999999999999</v>
      </c>
      <c r="I40" s="23"/>
      <c r="J40" s="23"/>
      <c r="K40" s="23">
        <f t="shared" si="5"/>
        <v>34765.9</v>
      </c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</row>
    <row r="41" spans="1:59" ht="39.75" customHeight="1">
      <c r="A41" s="21" t="s">
        <v>36</v>
      </c>
      <c r="B41" s="115" t="s">
        <v>37</v>
      </c>
      <c r="C41" s="104">
        <f t="shared" si="0"/>
        <v>56</v>
      </c>
      <c r="D41" s="34"/>
      <c r="E41" s="34"/>
      <c r="F41" s="34">
        <v>56</v>
      </c>
      <c r="G41" s="34"/>
      <c r="H41" s="34"/>
      <c r="I41" s="23"/>
      <c r="J41" s="23"/>
      <c r="K41" s="23">
        <f t="shared" si="5"/>
        <v>56</v>
      </c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</row>
    <row r="42" spans="1:59" ht="30" customHeight="1">
      <c r="A42" s="21" t="s">
        <v>39</v>
      </c>
      <c r="B42" s="115" t="s">
        <v>40</v>
      </c>
      <c r="C42" s="104">
        <f t="shared" si="0"/>
        <v>1531.6</v>
      </c>
      <c r="D42" s="34">
        <v>529.9</v>
      </c>
      <c r="E42" s="34">
        <v>52.1</v>
      </c>
      <c r="F42" s="34">
        <v>949.6</v>
      </c>
      <c r="G42" s="34"/>
      <c r="H42" s="34">
        <v>403.4</v>
      </c>
      <c r="I42" s="23"/>
      <c r="J42" s="23"/>
      <c r="K42" s="23">
        <f t="shared" si="5"/>
        <v>1935</v>
      </c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</row>
    <row r="43" spans="1:59" ht="39.75" customHeight="1">
      <c r="A43" s="21" t="s">
        <v>204</v>
      </c>
      <c r="B43" s="115" t="s">
        <v>37</v>
      </c>
      <c r="C43" s="104">
        <f t="shared" si="0"/>
        <v>1400</v>
      </c>
      <c r="D43" s="34"/>
      <c r="E43" s="34"/>
      <c r="F43" s="34">
        <v>1400</v>
      </c>
      <c r="G43" s="34"/>
      <c r="H43" s="34"/>
      <c r="I43" s="23"/>
      <c r="J43" s="23"/>
      <c r="K43" s="23">
        <f t="shared" si="5"/>
        <v>1400</v>
      </c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</row>
    <row r="44" spans="1:59" ht="27.75" customHeight="1">
      <c r="A44" s="24"/>
      <c r="B44" s="3" t="s">
        <v>217</v>
      </c>
      <c r="C44" s="99">
        <f t="shared" si="0"/>
        <v>4651.5</v>
      </c>
      <c r="D44" s="120">
        <f>D45</f>
        <v>1332.9</v>
      </c>
      <c r="E44" s="120">
        <f>E45</f>
        <v>409.2</v>
      </c>
      <c r="F44" s="120">
        <f>F45</f>
        <v>2909.4</v>
      </c>
      <c r="G44" s="34"/>
      <c r="H44" s="34"/>
      <c r="I44" s="23"/>
      <c r="J44" s="23"/>
      <c r="K44" s="2">
        <f t="shared" si="5"/>
        <v>4651.5</v>
      </c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</row>
    <row r="45" spans="1:59" ht="24.75" customHeight="1">
      <c r="A45" s="21" t="s">
        <v>206</v>
      </c>
      <c r="B45" s="115" t="s">
        <v>207</v>
      </c>
      <c r="C45" s="104">
        <f t="shared" si="0"/>
        <v>4651.5</v>
      </c>
      <c r="D45" s="34">
        <v>1332.9</v>
      </c>
      <c r="E45" s="34">
        <v>409.2</v>
      </c>
      <c r="F45" s="34">
        <v>2909.4</v>
      </c>
      <c r="G45" s="34"/>
      <c r="H45" s="34"/>
      <c r="I45" s="23"/>
      <c r="J45" s="23"/>
      <c r="K45" s="23">
        <f t="shared" si="5"/>
        <v>4651.5</v>
      </c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</row>
    <row r="46" spans="1:11" ht="39" customHeight="1">
      <c r="A46" s="122" t="s">
        <v>228</v>
      </c>
      <c r="B46" s="3" t="s">
        <v>75</v>
      </c>
      <c r="C46" s="99">
        <f t="shared" si="0"/>
        <v>1233.6</v>
      </c>
      <c r="D46" s="120">
        <v>206</v>
      </c>
      <c r="E46" s="120">
        <v>34.3</v>
      </c>
      <c r="F46" s="120">
        <f>843.3+150</f>
        <v>993.3</v>
      </c>
      <c r="G46" s="120"/>
      <c r="H46" s="120"/>
      <c r="I46" s="2"/>
      <c r="J46" s="2"/>
      <c r="K46" s="2">
        <f aca="true" t="shared" si="6" ref="K46:K59">C46+H46</f>
        <v>1233.6</v>
      </c>
    </row>
    <row r="47" spans="1:59" s="20" customFormat="1" ht="29.25" customHeight="1">
      <c r="A47" s="24"/>
      <c r="B47" s="3" t="s">
        <v>84</v>
      </c>
      <c r="C47" s="99">
        <f t="shared" si="0"/>
        <v>18000.5</v>
      </c>
      <c r="D47" s="120"/>
      <c r="E47" s="120"/>
      <c r="F47" s="120">
        <v>7000</v>
      </c>
      <c r="G47" s="120">
        <v>11000.5</v>
      </c>
      <c r="H47" s="120"/>
      <c r="I47" s="2"/>
      <c r="J47" s="2"/>
      <c r="K47" s="2">
        <f t="shared" si="6"/>
        <v>18000.5</v>
      </c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</row>
    <row r="48" spans="1:59" ht="26.25" customHeight="1" hidden="1">
      <c r="A48" s="21">
        <v>100100</v>
      </c>
      <c r="B48" s="33" t="s">
        <v>41</v>
      </c>
      <c r="C48" s="99">
        <f t="shared" si="0"/>
        <v>0</v>
      </c>
      <c r="D48" s="34"/>
      <c r="E48" s="34"/>
      <c r="F48" s="34"/>
      <c r="G48" s="34"/>
      <c r="H48" s="34"/>
      <c r="I48" s="23"/>
      <c r="J48" s="23"/>
      <c r="K48" s="23">
        <f t="shared" si="6"/>
        <v>0</v>
      </c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</row>
    <row r="49" spans="1:59" ht="12.75">
      <c r="A49" s="123">
        <v>100206</v>
      </c>
      <c r="B49" s="33" t="s">
        <v>93</v>
      </c>
      <c r="C49" s="104">
        <f aca="true" t="shared" si="7" ref="C49:C76">D49+E49+F49+G49</f>
        <v>1000</v>
      </c>
      <c r="D49" s="34"/>
      <c r="E49" s="34"/>
      <c r="F49" s="34">
        <v>1000</v>
      </c>
      <c r="G49" s="34"/>
      <c r="H49" s="34"/>
      <c r="I49" s="23"/>
      <c r="J49" s="23"/>
      <c r="K49" s="23">
        <f t="shared" si="6"/>
        <v>1000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1:59" ht="12.75">
      <c r="A50" s="21"/>
      <c r="B50" s="33" t="s">
        <v>94</v>
      </c>
      <c r="C50" s="104">
        <f t="shared" si="7"/>
        <v>1000</v>
      </c>
      <c r="D50" s="34"/>
      <c r="E50" s="34"/>
      <c r="F50" s="34">
        <v>1000</v>
      </c>
      <c r="G50" s="34"/>
      <c r="H50" s="34"/>
      <c r="I50" s="23"/>
      <c r="J50" s="23"/>
      <c r="K50" s="23">
        <f t="shared" si="6"/>
        <v>1000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11" ht="24.75" customHeight="1">
      <c r="A51" s="26"/>
      <c r="B51" s="3" t="s">
        <v>76</v>
      </c>
      <c r="C51" s="99">
        <f t="shared" si="7"/>
        <v>24236.800000000003</v>
      </c>
      <c r="D51" s="113">
        <f aca="true" t="shared" si="8" ref="D51:J51">D52+D53+D54+D55+D56+D57</f>
        <v>5451.5</v>
      </c>
      <c r="E51" s="113">
        <f t="shared" si="8"/>
        <v>947.5</v>
      </c>
      <c r="F51" s="113">
        <f t="shared" si="8"/>
        <v>16332.800000000001</v>
      </c>
      <c r="G51" s="113">
        <f t="shared" si="8"/>
        <v>1505</v>
      </c>
      <c r="H51" s="113">
        <f t="shared" si="8"/>
        <v>705</v>
      </c>
      <c r="I51" s="113">
        <f t="shared" si="8"/>
        <v>0</v>
      </c>
      <c r="J51" s="113">
        <f t="shared" si="8"/>
        <v>0</v>
      </c>
      <c r="K51" s="2">
        <f t="shared" si="6"/>
        <v>24941.800000000003</v>
      </c>
    </row>
    <row r="52" spans="1:59" ht="52.5" customHeight="1">
      <c r="A52" s="21" t="s">
        <v>77</v>
      </c>
      <c r="B52" s="115" t="s">
        <v>218</v>
      </c>
      <c r="C52" s="104">
        <f t="shared" si="7"/>
        <v>9004.9</v>
      </c>
      <c r="D52" s="34"/>
      <c r="E52" s="34"/>
      <c r="F52" s="34">
        <v>9004.9</v>
      </c>
      <c r="G52" s="34"/>
      <c r="H52" s="34"/>
      <c r="I52" s="34"/>
      <c r="J52" s="23"/>
      <c r="K52" s="23">
        <f t="shared" si="6"/>
        <v>9004.9</v>
      </c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</row>
    <row r="53" spans="1:59" ht="51.75" customHeight="1">
      <c r="A53" s="21" t="s">
        <v>78</v>
      </c>
      <c r="B53" s="115" t="s">
        <v>219</v>
      </c>
      <c r="C53" s="104">
        <f t="shared" si="7"/>
        <v>7670.400000000001</v>
      </c>
      <c r="D53" s="34">
        <v>1204.4</v>
      </c>
      <c r="E53" s="34">
        <f>300.9+33.5</f>
        <v>334.4</v>
      </c>
      <c r="F53" s="34">
        <f>2839.1+1821-33.5</f>
        <v>4626.6</v>
      </c>
      <c r="G53" s="34">
        <v>1505</v>
      </c>
      <c r="H53" s="34">
        <v>465</v>
      </c>
      <c r="I53" s="23"/>
      <c r="J53" s="23"/>
      <c r="K53" s="23">
        <f t="shared" si="6"/>
        <v>8135.400000000001</v>
      </c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</row>
    <row r="54" spans="1:59" ht="66" customHeight="1">
      <c r="A54" s="124">
        <v>70000</v>
      </c>
      <c r="B54" s="125" t="s">
        <v>79</v>
      </c>
      <c r="C54" s="104">
        <f t="shared" si="7"/>
        <v>7290.6</v>
      </c>
      <c r="D54" s="34">
        <v>4247.1</v>
      </c>
      <c r="E54" s="34">
        <v>613.1</v>
      </c>
      <c r="F54" s="34">
        <v>2430.4</v>
      </c>
      <c r="G54" s="34"/>
      <c r="H54" s="34">
        <v>240</v>
      </c>
      <c r="I54" s="23"/>
      <c r="J54" s="23"/>
      <c r="K54" s="23">
        <f t="shared" si="6"/>
        <v>7530.6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</row>
    <row r="55" spans="1:59" ht="25.5" customHeight="1">
      <c r="A55" s="126">
        <v>70000</v>
      </c>
      <c r="B55" s="125" t="s">
        <v>220</v>
      </c>
      <c r="C55" s="104">
        <f t="shared" si="7"/>
        <v>12.2</v>
      </c>
      <c r="D55" s="34"/>
      <c r="E55" s="34"/>
      <c r="F55" s="34">
        <v>12.2</v>
      </c>
      <c r="G55" s="34"/>
      <c r="H55" s="34"/>
      <c r="I55" s="23"/>
      <c r="J55" s="23"/>
      <c r="K55" s="23">
        <f t="shared" si="6"/>
        <v>12.2</v>
      </c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</row>
    <row r="56" spans="1:59" ht="43.5" customHeight="1">
      <c r="A56" s="21">
        <v>110300</v>
      </c>
      <c r="B56" s="115" t="s">
        <v>80</v>
      </c>
      <c r="C56" s="104">
        <f t="shared" si="7"/>
        <v>200</v>
      </c>
      <c r="D56" s="34"/>
      <c r="E56" s="34"/>
      <c r="F56" s="34">
        <v>200</v>
      </c>
      <c r="G56" s="34"/>
      <c r="H56" s="34"/>
      <c r="I56" s="23"/>
      <c r="J56" s="23"/>
      <c r="K56" s="23">
        <f t="shared" si="6"/>
        <v>200</v>
      </c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</row>
    <row r="57" spans="1:59" ht="38.25" customHeight="1">
      <c r="A57" s="21">
        <v>120300</v>
      </c>
      <c r="B57" s="115" t="s">
        <v>105</v>
      </c>
      <c r="C57" s="104">
        <f t="shared" si="7"/>
        <v>58.699999999999996</v>
      </c>
      <c r="D57" s="34"/>
      <c r="E57" s="34"/>
      <c r="F57" s="34">
        <f>53.4+5.3</f>
        <v>58.699999999999996</v>
      </c>
      <c r="G57" s="34"/>
      <c r="H57" s="34"/>
      <c r="I57" s="23"/>
      <c r="J57" s="23"/>
      <c r="K57" s="23">
        <f t="shared" si="6"/>
        <v>58.699999999999996</v>
      </c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</row>
    <row r="58" spans="1:59" s="20" customFormat="1" ht="26.25">
      <c r="A58" s="24"/>
      <c r="B58" s="3" t="s">
        <v>81</v>
      </c>
      <c r="C58" s="99">
        <f t="shared" si="7"/>
        <v>8610.7</v>
      </c>
      <c r="D58" s="120"/>
      <c r="E58" s="120"/>
      <c r="F58" s="120">
        <f>F60+F59+F61+F62</f>
        <v>6475.6</v>
      </c>
      <c r="G58" s="120">
        <f>G60+G59+G61+G62+G63</f>
        <v>2135.1</v>
      </c>
      <c r="H58" s="120"/>
      <c r="I58" s="2"/>
      <c r="J58" s="2"/>
      <c r="K58" s="2">
        <f t="shared" si="6"/>
        <v>8610.7</v>
      </c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</row>
    <row r="59" spans="1:59" ht="12.75">
      <c r="A59" s="124">
        <v>120100</v>
      </c>
      <c r="B59" s="72" t="s">
        <v>210</v>
      </c>
      <c r="C59" s="104">
        <f t="shared" si="7"/>
        <v>2000</v>
      </c>
      <c r="D59" s="72"/>
      <c r="E59" s="72"/>
      <c r="F59" s="72">
        <v>2000</v>
      </c>
      <c r="G59" s="34"/>
      <c r="H59" s="34"/>
      <c r="I59" s="23"/>
      <c r="J59" s="23"/>
      <c r="K59" s="23">
        <f t="shared" si="6"/>
        <v>2000</v>
      </c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</row>
    <row r="60" spans="1:59" ht="13.5" customHeight="1">
      <c r="A60" s="21">
        <v>120200</v>
      </c>
      <c r="B60" s="127" t="s">
        <v>47</v>
      </c>
      <c r="C60" s="104">
        <f t="shared" si="7"/>
        <v>4200</v>
      </c>
      <c r="D60" s="34"/>
      <c r="E60" s="34"/>
      <c r="F60" s="34">
        <v>4200</v>
      </c>
      <c r="G60" s="34"/>
      <c r="H60" s="34"/>
      <c r="I60" s="23"/>
      <c r="J60" s="23"/>
      <c r="K60" s="23">
        <f aca="true" t="shared" si="9" ref="K60:K69">C60+H60</f>
        <v>4200</v>
      </c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</row>
    <row r="61" spans="1:59" ht="39">
      <c r="A61" s="21">
        <v>120300</v>
      </c>
      <c r="B61" s="115" t="s">
        <v>106</v>
      </c>
      <c r="C61" s="104">
        <f t="shared" si="7"/>
        <v>207.6</v>
      </c>
      <c r="D61" s="34"/>
      <c r="E61" s="34"/>
      <c r="F61" s="34">
        <v>207.6</v>
      </c>
      <c r="G61" s="34"/>
      <c r="H61" s="34"/>
      <c r="I61" s="23"/>
      <c r="J61" s="23"/>
      <c r="K61" s="23">
        <f t="shared" si="9"/>
        <v>207.6</v>
      </c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</row>
    <row r="62" spans="1:59" ht="26.25">
      <c r="A62" s="21">
        <v>120300</v>
      </c>
      <c r="B62" s="116" t="s">
        <v>82</v>
      </c>
      <c r="C62" s="104">
        <f t="shared" si="7"/>
        <v>68</v>
      </c>
      <c r="D62" s="34"/>
      <c r="E62" s="34"/>
      <c r="F62" s="34">
        <v>68</v>
      </c>
      <c r="G62" s="34"/>
      <c r="H62" s="34"/>
      <c r="I62" s="23"/>
      <c r="J62" s="23"/>
      <c r="K62" s="23">
        <f t="shared" si="9"/>
        <v>68</v>
      </c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</row>
    <row r="63" spans="1:59" ht="26.25">
      <c r="A63" s="117"/>
      <c r="B63" s="37" t="s">
        <v>216</v>
      </c>
      <c r="C63" s="118">
        <f t="shared" si="7"/>
        <v>2135.1</v>
      </c>
      <c r="D63" s="34"/>
      <c r="E63" s="34"/>
      <c r="F63" s="34"/>
      <c r="G63" s="34">
        <v>2135.1</v>
      </c>
      <c r="H63" s="34"/>
      <c r="I63" s="23"/>
      <c r="J63" s="23"/>
      <c r="K63" s="23">
        <f t="shared" si="9"/>
        <v>2135.1</v>
      </c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</row>
    <row r="64" spans="1:59" s="20" customFormat="1" ht="37.5" customHeight="1">
      <c r="A64" s="128"/>
      <c r="B64" s="129" t="s">
        <v>83</v>
      </c>
      <c r="C64" s="99">
        <f t="shared" si="7"/>
        <v>23613.7</v>
      </c>
      <c r="D64" s="120">
        <f aca="true" t="shared" si="10" ref="D64:J64">D66+D67+D68</f>
        <v>2021.2</v>
      </c>
      <c r="E64" s="120">
        <f t="shared" si="10"/>
        <v>149.8</v>
      </c>
      <c r="F64" s="120">
        <f t="shared" si="10"/>
        <v>21381.7</v>
      </c>
      <c r="G64" s="120">
        <f t="shared" si="10"/>
        <v>61</v>
      </c>
      <c r="H64" s="120">
        <f t="shared" si="10"/>
        <v>10.4</v>
      </c>
      <c r="I64" s="120">
        <f t="shared" si="10"/>
        <v>0</v>
      </c>
      <c r="J64" s="120">
        <f t="shared" si="10"/>
        <v>0</v>
      </c>
      <c r="K64" s="2">
        <f t="shared" si="9"/>
        <v>23624.100000000002</v>
      </c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</row>
    <row r="65" spans="1:59" s="20" customFormat="1" ht="16.5" customHeight="1" hidden="1">
      <c r="A65" s="24"/>
      <c r="B65" s="3" t="s">
        <v>229</v>
      </c>
      <c r="C65" s="99">
        <f t="shared" si="7"/>
        <v>12529.7</v>
      </c>
      <c r="D65" s="120">
        <v>1283.9</v>
      </c>
      <c r="E65" s="120">
        <v>23.4</v>
      </c>
      <c r="F65" s="120">
        <v>11222.4</v>
      </c>
      <c r="G65" s="120"/>
      <c r="H65" s="120" t="e">
        <f>#REF!</f>
        <v>#REF!</v>
      </c>
      <c r="I65" s="120" t="e">
        <f>#REF!+#REF!</f>
        <v>#REF!</v>
      </c>
      <c r="J65" s="2"/>
      <c r="K65" s="2" t="e">
        <f t="shared" si="9"/>
        <v>#REF!</v>
      </c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</row>
    <row r="66" spans="1:59" ht="51.75" customHeight="1">
      <c r="A66" s="21">
        <v>130000</v>
      </c>
      <c r="B66" s="115" t="s">
        <v>221</v>
      </c>
      <c r="C66" s="104">
        <f t="shared" si="7"/>
        <v>20490.7</v>
      </c>
      <c r="D66" s="34">
        <v>1283.9</v>
      </c>
      <c r="E66" s="34">
        <v>23.4</v>
      </c>
      <c r="F66" s="34">
        <f>11222.4+600+7300</f>
        <v>19122.4</v>
      </c>
      <c r="G66" s="34">
        <v>61</v>
      </c>
      <c r="H66" s="34"/>
      <c r="I66" s="23"/>
      <c r="J66" s="23"/>
      <c r="K66" s="2">
        <f t="shared" si="9"/>
        <v>20490.7</v>
      </c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</row>
    <row r="67" spans="1:59" ht="13.5" customHeight="1">
      <c r="A67" s="110">
        <v>70601</v>
      </c>
      <c r="B67" s="42" t="s">
        <v>67</v>
      </c>
      <c r="C67" s="104">
        <f t="shared" si="7"/>
        <v>3063</v>
      </c>
      <c r="D67" s="34">
        <v>737.3</v>
      </c>
      <c r="E67" s="34">
        <v>126.4</v>
      </c>
      <c r="F67" s="34">
        <v>2199.3</v>
      </c>
      <c r="G67" s="34"/>
      <c r="H67" s="34">
        <v>10.4</v>
      </c>
      <c r="I67" s="23"/>
      <c r="J67" s="23"/>
      <c r="K67" s="2">
        <f t="shared" si="9"/>
        <v>3073.4</v>
      </c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</row>
    <row r="68" spans="1:59" ht="39.75" customHeight="1">
      <c r="A68" s="21" t="s">
        <v>230</v>
      </c>
      <c r="B68" s="115" t="s">
        <v>222</v>
      </c>
      <c r="C68" s="104">
        <f t="shared" si="7"/>
        <v>60</v>
      </c>
      <c r="D68" s="34"/>
      <c r="E68" s="34"/>
      <c r="F68" s="34">
        <v>60</v>
      </c>
      <c r="G68" s="34"/>
      <c r="H68" s="34"/>
      <c r="I68" s="23"/>
      <c r="J68" s="23"/>
      <c r="K68" s="2">
        <f t="shared" si="9"/>
        <v>60</v>
      </c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</row>
    <row r="69" spans="1:59" s="20" customFormat="1" ht="66" customHeight="1">
      <c r="A69" s="24">
        <v>210000</v>
      </c>
      <c r="B69" s="27" t="s">
        <v>223</v>
      </c>
      <c r="C69" s="99">
        <f t="shared" si="7"/>
        <v>2308</v>
      </c>
      <c r="D69" s="120"/>
      <c r="E69" s="120"/>
      <c r="F69" s="120">
        <v>1533</v>
      </c>
      <c r="G69" s="120">
        <v>775</v>
      </c>
      <c r="H69" s="120"/>
      <c r="I69" s="2"/>
      <c r="J69" s="2"/>
      <c r="K69" s="2">
        <f t="shared" si="9"/>
        <v>2308</v>
      </c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</row>
    <row r="70" spans="1:59" s="20" customFormat="1" ht="27.75" customHeight="1">
      <c r="A70" s="24"/>
      <c r="B70" s="3" t="s">
        <v>86</v>
      </c>
      <c r="C70" s="99">
        <f t="shared" si="7"/>
        <v>482127.1</v>
      </c>
      <c r="D70" s="120">
        <f>SUM(D71:D86)</f>
        <v>0</v>
      </c>
      <c r="E70" s="120">
        <f>SUM(E71:E86)</f>
        <v>0</v>
      </c>
      <c r="F70" s="120">
        <f>F71+F74+F76+F77+F78+F79+F80+F81+F82+F83+F84+F85+F86</f>
        <v>479092.39999999997</v>
      </c>
      <c r="G70" s="120">
        <f>SUM(G71:G86)-G72-G73</f>
        <v>3034.7</v>
      </c>
      <c r="H70" s="120">
        <f>H71+H74+H76+H77+H78+H79+H80+H81+H82+H83+H84+H85+H86</f>
        <v>93152.70000000001</v>
      </c>
      <c r="I70" s="120">
        <f>SUM(I71:I86)-I72-I73-I75</f>
        <v>39061</v>
      </c>
      <c r="J70" s="120">
        <f>SUM(J71:J86)-J72-J73</f>
        <v>1730</v>
      </c>
      <c r="K70" s="2">
        <f aca="true" t="shared" si="11" ref="K70:K79">C70+H70</f>
        <v>575279.8</v>
      </c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</row>
    <row r="71" spans="1:59" s="135" customFormat="1" ht="39">
      <c r="A71" s="130" t="s">
        <v>8</v>
      </c>
      <c r="B71" s="131" t="s">
        <v>113</v>
      </c>
      <c r="C71" s="132">
        <f t="shared" si="7"/>
        <v>8114.7</v>
      </c>
      <c r="D71" s="133"/>
      <c r="E71" s="133"/>
      <c r="F71" s="133">
        <v>5080</v>
      </c>
      <c r="G71" s="133">
        <v>3034.7</v>
      </c>
      <c r="H71" s="133"/>
      <c r="I71" s="133"/>
      <c r="J71" s="133"/>
      <c r="K71" s="133">
        <f t="shared" si="11"/>
        <v>8114.7</v>
      </c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</row>
    <row r="72" spans="1:59" ht="26.25">
      <c r="A72" s="21">
        <v>60702</v>
      </c>
      <c r="B72" s="115" t="s">
        <v>16</v>
      </c>
      <c r="C72" s="104">
        <f t="shared" si="7"/>
        <v>800</v>
      </c>
      <c r="D72" s="34"/>
      <c r="E72" s="34"/>
      <c r="F72" s="34">
        <v>800</v>
      </c>
      <c r="G72" s="34"/>
      <c r="H72" s="34"/>
      <c r="I72" s="23"/>
      <c r="J72" s="23"/>
      <c r="K72" s="23">
        <f t="shared" si="11"/>
        <v>800</v>
      </c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</row>
    <row r="73" spans="1:59" ht="39" customHeight="1">
      <c r="A73" s="21">
        <v>61007</v>
      </c>
      <c r="B73" s="22" t="s">
        <v>115</v>
      </c>
      <c r="C73" s="104">
        <f t="shared" si="7"/>
        <v>4280</v>
      </c>
      <c r="D73" s="23"/>
      <c r="E73" s="23"/>
      <c r="F73" s="23">
        <v>4280</v>
      </c>
      <c r="G73" s="23"/>
      <c r="H73" s="23"/>
      <c r="I73" s="23"/>
      <c r="J73" s="23"/>
      <c r="K73" s="23">
        <f t="shared" si="11"/>
        <v>4280</v>
      </c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</row>
    <row r="74" spans="1:59" ht="37.5" customHeight="1">
      <c r="A74" s="21">
        <v>150100</v>
      </c>
      <c r="B74" s="115" t="s">
        <v>109</v>
      </c>
      <c r="C74" s="104">
        <f t="shared" si="7"/>
        <v>0</v>
      </c>
      <c r="D74" s="34"/>
      <c r="E74" s="34"/>
      <c r="F74" s="34"/>
      <c r="G74" s="34"/>
      <c r="H74" s="34">
        <f>I74</f>
        <v>39061</v>
      </c>
      <c r="I74" s="23">
        <f>8000+22506.3+5482.2+1730+1342.5</f>
        <v>39061</v>
      </c>
      <c r="J74" s="23">
        <v>1730</v>
      </c>
      <c r="K74" s="23">
        <f t="shared" si="11"/>
        <v>39061</v>
      </c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</row>
    <row r="75" spans="1:59" ht="24.75" customHeight="1">
      <c r="A75" s="21"/>
      <c r="B75" s="115" t="s">
        <v>190</v>
      </c>
      <c r="C75" s="104">
        <f t="shared" si="7"/>
        <v>0</v>
      </c>
      <c r="D75" s="34"/>
      <c r="E75" s="34"/>
      <c r="F75" s="34"/>
      <c r="G75" s="34"/>
      <c r="H75" s="34">
        <v>1342.5</v>
      </c>
      <c r="I75" s="23">
        <v>1342.5</v>
      </c>
      <c r="J75" s="23"/>
      <c r="K75" s="23">
        <f t="shared" si="11"/>
        <v>1342.5</v>
      </c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1:59" ht="52.5">
      <c r="A76" s="21">
        <v>170703</v>
      </c>
      <c r="B76" s="115" t="s">
        <v>85</v>
      </c>
      <c r="C76" s="104">
        <f t="shared" si="7"/>
        <v>0</v>
      </c>
      <c r="D76" s="34"/>
      <c r="E76" s="34"/>
      <c r="F76" s="34"/>
      <c r="G76" s="34"/>
      <c r="H76" s="34">
        <v>27817.1</v>
      </c>
      <c r="I76" s="23"/>
      <c r="J76" s="23"/>
      <c r="K76" s="23">
        <f t="shared" si="11"/>
        <v>27817.1</v>
      </c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59" ht="39">
      <c r="A77" s="123">
        <v>180410</v>
      </c>
      <c r="B77" s="22" t="s">
        <v>189</v>
      </c>
      <c r="C77" s="23">
        <f>D77+E77+F77</f>
        <v>14.5</v>
      </c>
      <c r="D77" s="23"/>
      <c r="E77" s="23"/>
      <c r="F77" s="23">
        <v>14.5</v>
      </c>
      <c r="G77" s="23"/>
      <c r="H77" s="23"/>
      <c r="I77" s="23"/>
      <c r="J77" s="23"/>
      <c r="K77" s="23">
        <f t="shared" si="11"/>
        <v>14.5</v>
      </c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</row>
    <row r="78" spans="1:59" ht="12.75">
      <c r="A78" s="123">
        <v>230000</v>
      </c>
      <c r="B78" s="22" t="s">
        <v>129</v>
      </c>
      <c r="C78" s="23">
        <f>D78+E78+F78</f>
        <v>0.1</v>
      </c>
      <c r="D78" s="23"/>
      <c r="E78" s="23"/>
      <c r="F78" s="23">
        <v>0.1</v>
      </c>
      <c r="G78" s="23"/>
      <c r="H78" s="23"/>
      <c r="I78" s="23"/>
      <c r="J78" s="23"/>
      <c r="K78" s="23">
        <f t="shared" si="11"/>
        <v>0.1</v>
      </c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</row>
    <row r="79" spans="1:59" ht="26.25">
      <c r="A79" s="123" t="s">
        <v>233</v>
      </c>
      <c r="B79" s="22" t="s">
        <v>234</v>
      </c>
      <c r="C79" s="23"/>
      <c r="D79" s="23"/>
      <c r="E79" s="23"/>
      <c r="F79" s="23"/>
      <c r="G79" s="23"/>
      <c r="H79" s="34">
        <v>23470.6</v>
      </c>
      <c r="I79" s="23"/>
      <c r="J79" s="23"/>
      <c r="K79" s="23">
        <f t="shared" si="11"/>
        <v>23470.6</v>
      </c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</row>
    <row r="80" spans="1:59" ht="66">
      <c r="A80" s="123">
        <v>240900</v>
      </c>
      <c r="B80" s="22" t="s">
        <v>57</v>
      </c>
      <c r="C80" s="104">
        <f aca="true" t="shared" si="12" ref="C80:C86">D80+E80+F80+G80</f>
        <v>0</v>
      </c>
      <c r="D80" s="23"/>
      <c r="E80" s="23"/>
      <c r="F80" s="23"/>
      <c r="G80" s="23"/>
      <c r="H80" s="23">
        <f>2061.1+742.9</f>
        <v>2804</v>
      </c>
      <c r="I80" s="23"/>
      <c r="J80" s="23"/>
      <c r="K80" s="23">
        <f>C80+H80</f>
        <v>2804</v>
      </c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59" ht="28.5" customHeight="1">
      <c r="A81" s="21"/>
      <c r="B81" s="115" t="s">
        <v>112</v>
      </c>
      <c r="C81" s="104">
        <f t="shared" si="12"/>
        <v>380512.3</v>
      </c>
      <c r="D81" s="34"/>
      <c r="E81" s="34"/>
      <c r="F81" s="23">
        <v>380512.3</v>
      </c>
      <c r="G81" s="23"/>
      <c r="H81" s="34"/>
      <c r="I81" s="23"/>
      <c r="J81" s="23"/>
      <c r="K81" s="23">
        <f>C81+H81</f>
        <v>380512.3</v>
      </c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</row>
    <row r="82" spans="1:59" ht="12.75">
      <c r="A82" s="21">
        <v>250102</v>
      </c>
      <c r="B82" s="115" t="s">
        <v>59</v>
      </c>
      <c r="C82" s="104">
        <f t="shared" si="12"/>
        <v>3500</v>
      </c>
      <c r="D82" s="34"/>
      <c r="E82" s="34"/>
      <c r="F82" s="34">
        <v>3500</v>
      </c>
      <c r="G82" s="34"/>
      <c r="H82" s="34"/>
      <c r="I82" s="23"/>
      <c r="J82" s="23"/>
      <c r="K82" s="23">
        <f>C82+H82</f>
        <v>3500</v>
      </c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 ht="26.25">
      <c r="A83" s="123">
        <v>250203</v>
      </c>
      <c r="B83" s="22" t="s">
        <v>195</v>
      </c>
      <c r="C83" s="104">
        <f t="shared" si="12"/>
        <v>163</v>
      </c>
      <c r="D83" s="23"/>
      <c r="E83" s="23"/>
      <c r="F83" s="23">
        <v>163</v>
      </c>
      <c r="G83" s="34"/>
      <c r="H83" s="34"/>
      <c r="I83" s="23"/>
      <c r="J83" s="23"/>
      <c r="K83" s="23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</row>
    <row r="84" spans="1:59" ht="39">
      <c r="A84" s="123">
        <v>250306</v>
      </c>
      <c r="B84" s="22" t="s">
        <v>134</v>
      </c>
      <c r="C84" s="104">
        <f t="shared" si="12"/>
        <v>13372.2</v>
      </c>
      <c r="D84" s="23"/>
      <c r="E84" s="23"/>
      <c r="F84" s="23">
        <f>7890+5482.2</f>
        <v>13372.2</v>
      </c>
      <c r="G84" s="23"/>
      <c r="H84" s="23"/>
      <c r="I84" s="23"/>
      <c r="J84" s="23"/>
      <c r="K84" s="23">
        <f>C84+H84</f>
        <v>13372.2</v>
      </c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</row>
    <row r="85" spans="1:59" ht="52.5">
      <c r="A85" s="123">
        <v>250313</v>
      </c>
      <c r="B85" s="22" t="s">
        <v>103</v>
      </c>
      <c r="C85" s="104">
        <f t="shared" si="12"/>
        <v>13705.5</v>
      </c>
      <c r="D85" s="23"/>
      <c r="E85" s="23"/>
      <c r="F85" s="23">
        <v>13705.5</v>
      </c>
      <c r="G85" s="23"/>
      <c r="H85" s="23"/>
      <c r="I85" s="23"/>
      <c r="J85" s="23"/>
      <c r="K85" s="23">
        <f>C85+H85</f>
        <v>13705.5</v>
      </c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</row>
    <row r="86" spans="1:59" ht="26.25">
      <c r="A86" s="123">
        <v>250301</v>
      </c>
      <c r="B86" s="42" t="s">
        <v>135</v>
      </c>
      <c r="C86" s="104">
        <f t="shared" si="12"/>
        <v>62744.8</v>
      </c>
      <c r="D86" s="23"/>
      <c r="E86" s="23"/>
      <c r="F86" s="23">
        <v>62744.8</v>
      </c>
      <c r="G86" s="23"/>
      <c r="H86" s="23"/>
      <c r="I86" s="23"/>
      <c r="J86" s="23"/>
      <c r="K86" s="23">
        <f>C86+H86</f>
        <v>62744.8</v>
      </c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</row>
    <row r="87" spans="1:59" ht="12.75">
      <c r="A87" s="123"/>
      <c r="B87" s="42"/>
      <c r="C87" s="104"/>
      <c r="D87" s="23"/>
      <c r="E87" s="23"/>
      <c r="F87" s="23"/>
      <c r="G87" s="23"/>
      <c r="H87" s="23"/>
      <c r="I87" s="23"/>
      <c r="J87" s="23"/>
      <c r="K87" s="23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59" s="20" customFormat="1" ht="12.75">
      <c r="A88" s="24"/>
      <c r="B88" s="3" t="s">
        <v>61</v>
      </c>
      <c r="C88" s="113">
        <f>C70+C69+C64+C58+C51+C46+C44+C36+C30+C23+C15+C47+C21</f>
        <v>882365.5</v>
      </c>
      <c r="D88" s="113">
        <f aca="true" t="shared" si="13" ref="D88:I88">D82+D70+D69+D64+D58+D51+D46+D44+D36+D30+D23+D15+D47</f>
        <v>120796.79999999999</v>
      </c>
      <c r="E88" s="113">
        <f t="shared" si="13"/>
        <v>30078.200000000004</v>
      </c>
      <c r="F88" s="113">
        <f>F70+F69+F64+F58+F51+F46+F44+F36+F30+F23+F15+F47+F21</f>
        <v>696146.2000000001</v>
      </c>
      <c r="G88" s="113">
        <f t="shared" si="13"/>
        <v>35344.3</v>
      </c>
      <c r="H88" s="113">
        <f t="shared" si="13"/>
        <v>105800.90000000001</v>
      </c>
      <c r="I88" s="113">
        <f t="shared" si="13"/>
        <v>39061</v>
      </c>
      <c r="J88" s="113">
        <f>J82+J70+J69+J64+J58+J51+J46+J44+J36+J30+J23+J15+J47</f>
        <v>1730</v>
      </c>
      <c r="K88" s="113">
        <f>K21+K70+K69+K64+K58+K51+K46+K44+K36+K30+K23+K15+K47</f>
        <v>988166.4</v>
      </c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</row>
    <row r="89" spans="1:59" s="12" customFormat="1" ht="12.75">
      <c r="A89" s="136"/>
      <c r="B89" s="137"/>
      <c r="C89" s="19"/>
      <c r="D89" s="140"/>
      <c r="E89" s="138"/>
      <c r="F89" s="138"/>
      <c r="G89" s="138"/>
      <c r="H89" s="138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</row>
    <row r="90" spans="3:11" ht="12.75">
      <c r="C90" s="45"/>
      <c r="F90" s="44"/>
      <c r="K90" s="44"/>
    </row>
    <row r="91" ht="12.75">
      <c r="C91" s="45"/>
    </row>
    <row r="92" ht="12.75">
      <c r="C92" s="45"/>
    </row>
    <row r="93" spans="3:11" ht="12.75">
      <c r="C93" s="45"/>
      <c r="D93" s="45"/>
      <c r="E93" s="45"/>
      <c r="F93" s="45"/>
      <c r="G93" s="45"/>
      <c r="H93" s="45"/>
      <c r="I93" s="45"/>
      <c r="J93" s="45"/>
      <c r="K93" s="45"/>
    </row>
    <row r="94" ht="12.75">
      <c r="C94" s="45"/>
    </row>
    <row r="95" ht="12.75">
      <c r="C95" s="45"/>
    </row>
    <row r="96" ht="12.75">
      <c r="C96" s="45"/>
    </row>
    <row r="97" ht="12.75">
      <c r="C97" s="45"/>
    </row>
    <row r="98" ht="12.75">
      <c r="C98" s="45"/>
    </row>
    <row r="99" ht="12.75">
      <c r="C99" s="45"/>
    </row>
    <row r="100" ht="12.75">
      <c r="C100" s="45"/>
    </row>
    <row r="101" ht="12.75">
      <c r="C101" s="45"/>
    </row>
    <row r="102" ht="12.75">
      <c r="C102" s="45"/>
    </row>
    <row r="103" ht="12.75">
      <c r="C103" s="45"/>
    </row>
    <row r="104" ht="12.75">
      <c r="C104" s="45"/>
    </row>
    <row r="105" ht="12.75">
      <c r="C105" s="45"/>
    </row>
    <row r="106" ht="12.75">
      <c r="C106" s="45"/>
    </row>
    <row r="107" ht="12.75">
      <c r="C107" s="45"/>
    </row>
    <row r="108" ht="12.75">
      <c r="C108" s="45"/>
    </row>
    <row r="109" ht="12.75">
      <c r="C109" s="45"/>
    </row>
    <row r="110" ht="12.75">
      <c r="C110" s="45"/>
    </row>
    <row r="111" ht="12.75">
      <c r="C111" s="45"/>
    </row>
    <row r="112" ht="12.75">
      <c r="C112" s="45"/>
    </row>
    <row r="113" ht="12.75">
      <c r="C113" s="45"/>
    </row>
    <row r="114" ht="12.75">
      <c r="C114" s="45"/>
    </row>
    <row r="115" ht="12.75">
      <c r="C115" s="45"/>
    </row>
    <row r="116" ht="12.75">
      <c r="C116" s="45"/>
    </row>
    <row r="117" ht="12.75">
      <c r="C117" s="45"/>
    </row>
    <row r="118" ht="12.75">
      <c r="C118" s="45"/>
    </row>
    <row r="119" ht="12.75">
      <c r="C119" s="45"/>
    </row>
    <row r="120" ht="12.75">
      <c r="C120" s="45"/>
    </row>
    <row r="121" ht="12.75">
      <c r="C121" s="45"/>
    </row>
    <row r="122" ht="12.75">
      <c r="C122" s="45"/>
    </row>
    <row r="123" ht="12.75">
      <c r="C123" s="45"/>
    </row>
    <row r="124" ht="12.75">
      <c r="C124" s="45"/>
    </row>
    <row r="125" ht="12.75">
      <c r="C125" s="45"/>
    </row>
    <row r="126" ht="12.75">
      <c r="C126" s="45"/>
    </row>
    <row r="127" ht="12.75">
      <c r="C127" s="45"/>
    </row>
    <row r="128" ht="12.75">
      <c r="C128" s="45"/>
    </row>
    <row r="129" ht="12.75">
      <c r="C129" s="45"/>
    </row>
    <row r="130" ht="12.75">
      <c r="C130" s="45"/>
    </row>
    <row r="131" ht="12.75">
      <c r="C131" s="45"/>
    </row>
    <row r="132" ht="12.75">
      <c r="C132" s="45"/>
    </row>
    <row r="133" ht="12.75">
      <c r="C133" s="45"/>
    </row>
    <row r="134" ht="12.75">
      <c r="C134" s="45"/>
    </row>
    <row r="135" ht="12.75">
      <c r="C135" s="45"/>
    </row>
    <row r="136" ht="12.75">
      <c r="C136" s="45"/>
    </row>
    <row r="137" ht="12.75">
      <c r="C137" s="45"/>
    </row>
    <row r="138" ht="12.75">
      <c r="C138" s="45"/>
    </row>
    <row r="139" ht="12.75">
      <c r="C139" s="45"/>
    </row>
    <row r="140" ht="12.75">
      <c r="C140" s="45"/>
    </row>
    <row r="141" ht="12.75">
      <c r="C141" s="45"/>
    </row>
    <row r="142" ht="12.75">
      <c r="C142" s="45"/>
    </row>
    <row r="143" ht="12.75">
      <c r="C143" s="45"/>
    </row>
    <row r="144" ht="12.75">
      <c r="C144" s="45"/>
    </row>
    <row r="145" ht="12.75">
      <c r="C145" s="45"/>
    </row>
    <row r="146" ht="12.75">
      <c r="C146" s="45"/>
    </row>
    <row r="147" ht="12.75">
      <c r="C147" s="45"/>
    </row>
    <row r="148" ht="12.75">
      <c r="C148" s="45"/>
    </row>
    <row r="149" ht="12.75">
      <c r="C149" s="45"/>
    </row>
    <row r="150" ht="12.75">
      <c r="C150" s="45"/>
    </row>
    <row r="151" ht="12.75">
      <c r="C151" s="45"/>
    </row>
    <row r="152" ht="12.75">
      <c r="C152" s="45"/>
    </row>
    <row r="153" ht="12.75">
      <c r="C153" s="45"/>
    </row>
    <row r="154" ht="12.75">
      <c r="C154" s="45"/>
    </row>
    <row r="155" ht="12.75">
      <c r="C155" s="45"/>
    </row>
    <row r="156" ht="12.75">
      <c r="C156" s="45"/>
    </row>
    <row r="157" ht="12.75">
      <c r="C157" s="45"/>
    </row>
    <row r="158" ht="12.75">
      <c r="C158" s="45"/>
    </row>
    <row r="159" ht="12.75">
      <c r="C159" s="45"/>
    </row>
    <row r="160" ht="12.75">
      <c r="C160" s="45"/>
    </row>
    <row r="161" ht="12.75">
      <c r="C161" s="45"/>
    </row>
    <row r="162" ht="12.75">
      <c r="C162" s="45"/>
    </row>
    <row r="163" ht="12.75">
      <c r="C163" s="45"/>
    </row>
    <row r="164" ht="12.75">
      <c r="C164" s="45"/>
    </row>
    <row r="165" ht="12.75">
      <c r="C165" s="45"/>
    </row>
    <row r="166" ht="12.75">
      <c r="C166" s="45"/>
    </row>
    <row r="167" ht="12.75">
      <c r="C167" s="45"/>
    </row>
    <row r="168" ht="12.75">
      <c r="C168" s="45"/>
    </row>
    <row r="169" ht="12.75">
      <c r="C169" s="45"/>
    </row>
    <row r="170" ht="12.75">
      <c r="C170" s="45"/>
    </row>
    <row r="171" ht="12.75">
      <c r="C171" s="45"/>
    </row>
    <row r="172" ht="12.75">
      <c r="C172" s="45"/>
    </row>
    <row r="173" ht="12.75">
      <c r="C173" s="45"/>
    </row>
    <row r="174" ht="12.75">
      <c r="C174" s="45"/>
    </row>
    <row r="175" ht="12.75">
      <c r="C175" s="45"/>
    </row>
    <row r="176" ht="12.75">
      <c r="C176" s="45"/>
    </row>
    <row r="177" ht="12.75">
      <c r="C177" s="45"/>
    </row>
    <row r="178" ht="12.75">
      <c r="C178" s="45"/>
    </row>
    <row r="179" ht="12.75">
      <c r="C179" s="45"/>
    </row>
    <row r="180" ht="12.75">
      <c r="C180" s="45"/>
    </row>
    <row r="181" ht="12.75">
      <c r="C181" s="45"/>
    </row>
    <row r="182" ht="12.75">
      <c r="C182" s="45"/>
    </row>
    <row r="183" ht="12.75">
      <c r="C183" s="45"/>
    </row>
    <row r="184" ht="12.75">
      <c r="C184" s="45"/>
    </row>
    <row r="185" ht="12.75">
      <c r="C185" s="45"/>
    </row>
    <row r="186" ht="12.75">
      <c r="C186" s="45"/>
    </row>
    <row r="187" ht="12.75">
      <c r="C187" s="45"/>
    </row>
    <row r="188" ht="12.75">
      <c r="C188" s="45"/>
    </row>
    <row r="189" ht="12.75">
      <c r="C189" s="45"/>
    </row>
    <row r="190" ht="12.75">
      <c r="C190" s="45"/>
    </row>
    <row r="191" ht="12.75">
      <c r="C191" s="45"/>
    </row>
    <row r="192" ht="12.75">
      <c r="C192" s="45"/>
    </row>
    <row r="193" ht="12.75">
      <c r="C193" s="45"/>
    </row>
    <row r="194" ht="12.75">
      <c r="C194" s="45"/>
    </row>
    <row r="195" ht="12.75">
      <c r="C195" s="45"/>
    </row>
    <row r="196" ht="12.75">
      <c r="C196" s="45"/>
    </row>
    <row r="197" ht="12.75">
      <c r="C197" s="45"/>
    </row>
    <row r="198" ht="12.75">
      <c r="C198" s="45"/>
    </row>
    <row r="199" ht="12.75">
      <c r="C199" s="45"/>
    </row>
    <row r="200" ht="12.75">
      <c r="C200" s="45"/>
    </row>
    <row r="201" ht="12.75">
      <c r="C201" s="45"/>
    </row>
    <row r="202" ht="12.75">
      <c r="C202" s="45"/>
    </row>
    <row r="203" ht="12.75">
      <c r="C203" s="45"/>
    </row>
    <row r="204" ht="12.75">
      <c r="C204" s="45"/>
    </row>
    <row r="205" ht="12.75">
      <c r="C205" s="45"/>
    </row>
    <row r="206" ht="12.75">
      <c r="C206" s="45"/>
    </row>
    <row r="207" ht="12.75">
      <c r="C207" s="45"/>
    </row>
    <row r="208" ht="12.75">
      <c r="C208" s="45"/>
    </row>
    <row r="209" ht="12.75">
      <c r="C209" s="45"/>
    </row>
    <row r="210" ht="12.75">
      <c r="C210" s="45"/>
    </row>
    <row r="211" ht="12.75">
      <c r="C211" s="45"/>
    </row>
    <row r="212" ht="12.75">
      <c r="C212" s="45"/>
    </row>
    <row r="213" ht="12.75">
      <c r="C213" s="45"/>
    </row>
    <row r="214" ht="12.75">
      <c r="C214" s="45"/>
    </row>
  </sheetData>
  <mergeCells count="15">
    <mergeCell ref="J12:J13"/>
    <mergeCell ref="H11:J11"/>
    <mergeCell ref="A9:K9"/>
    <mergeCell ref="H4:K4"/>
    <mergeCell ref="H6:K6"/>
    <mergeCell ref="F1:K1"/>
    <mergeCell ref="A8:K8"/>
    <mergeCell ref="H10:K10"/>
    <mergeCell ref="A11:A13"/>
    <mergeCell ref="K11:K13"/>
    <mergeCell ref="C12:C13"/>
    <mergeCell ref="B11:B13"/>
    <mergeCell ref="H12:H13"/>
    <mergeCell ref="C11:G11"/>
    <mergeCell ref="D12:G12"/>
  </mergeCells>
  <printOptions/>
  <pageMargins left="0.09" right="0.02" top="0.15748031496062992" bottom="0.1968503937007874" header="0.15748031496062992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B45">
      <selection activeCell="C56" sqref="C56"/>
    </sheetView>
  </sheetViews>
  <sheetFormatPr defaultColWidth="9.00390625" defaultRowHeight="12.75"/>
  <cols>
    <col min="1" max="1" width="9.875" style="54" customWidth="1"/>
    <col min="2" max="2" width="31.00390625" style="56" customWidth="1"/>
    <col min="3" max="3" width="10.00390625" style="54" customWidth="1"/>
    <col min="4" max="4" width="16.125" style="54" customWidth="1"/>
    <col min="5" max="5" width="9.875" style="54" customWidth="1"/>
    <col min="6" max="6" width="14.625" style="54" customWidth="1"/>
    <col min="7" max="16384" width="9.125" style="54" customWidth="1"/>
  </cols>
  <sheetData>
    <row r="1" spans="2:5" ht="12.75">
      <c r="B1" s="54"/>
      <c r="E1" s="55" t="s">
        <v>136</v>
      </c>
    </row>
    <row r="2" ht="12.75">
      <c r="E2" s="55" t="s">
        <v>114</v>
      </c>
    </row>
    <row r="3" ht="14.25" customHeight="1">
      <c r="E3" s="55" t="s">
        <v>137</v>
      </c>
    </row>
    <row r="4" ht="3.75" customHeight="1" hidden="1"/>
    <row r="5" spans="3:6" ht="15" customHeight="1">
      <c r="C5" s="57" t="s">
        <v>138</v>
      </c>
      <c r="D5" s="47"/>
      <c r="E5" s="47"/>
      <c r="F5" s="47"/>
    </row>
    <row r="6" ht="12.75" customHeight="1">
      <c r="F6" s="73" t="s">
        <v>139</v>
      </c>
    </row>
    <row r="7" ht="3.75" customHeight="1" thickBot="1"/>
    <row r="8" ht="12" customHeight="1" hidden="1"/>
    <row r="9" spans="1:6" ht="13.5" thickBot="1">
      <c r="A9" s="233" t="s">
        <v>140</v>
      </c>
      <c r="B9" s="231" t="s">
        <v>142</v>
      </c>
      <c r="C9" s="196" t="s">
        <v>235</v>
      </c>
      <c r="D9" s="49" t="s">
        <v>141</v>
      </c>
      <c r="E9" s="58"/>
      <c r="F9" s="229" t="s">
        <v>4</v>
      </c>
    </row>
    <row r="10" spans="1:6" ht="39.75" thickBot="1">
      <c r="A10" s="234"/>
      <c r="B10" s="232"/>
      <c r="C10" s="197"/>
      <c r="D10" s="157" t="s">
        <v>4</v>
      </c>
      <c r="E10" s="76" t="s">
        <v>143</v>
      </c>
      <c r="F10" s="230"/>
    </row>
    <row r="11" spans="1:6" ht="13.5" thickBot="1">
      <c r="A11" s="78">
        <v>1</v>
      </c>
      <c r="B11" s="79">
        <v>2</v>
      </c>
      <c r="C11" s="80">
        <v>3</v>
      </c>
      <c r="D11" s="80">
        <v>4</v>
      </c>
      <c r="E11" s="80">
        <v>5</v>
      </c>
      <c r="F11" s="150" t="s">
        <v>144</v>
      </c>
    </row>
    <row r="12" spans="1:7" s="96" customFormat="1" ht="12.75">
      <c r="A12" s="92">
        <v>10000000</v>
      </c>
      <c r="B12" s="93" t="s">
        <v>145</v>
      </c>
      <c r="C12" s="94">
        <f>C13+C19+C21</f>
        <v>446494.89999999997</v>
      </c>
      <c r="D12" s="92">
        <f>D17+D21</f>
        <v>27817.1</v>
      </c>
      <c r="E12" s="92" t="s">
        <v>146</v>
      </c>
      <c r="F12" s="149">
        <f>C12+D12</f>
        <v>474311.99999999994</v>
      </c>
      <c r="G12" s="95"/>
    </row>
    <row r="13" spans="1:6" ht="39">
      <c r="A13" s="60">
        <v>11000000</v>
      </c>
      <c r="B13" s="61" t="s">
        <v>147</v>
      </c>
      <c r="C13" s="62">
        <f>C14+C15</f>
        <v>372164.89999999997</v>
      </c>
      <c r="D13" s="60" t="s">
        <v>146</v>
      </c>
      <c r="E13" s="60" t="s">
        <v>146</v>
      </c>
      <c r="F13" s="62">
        <f>F14+F15</f>
        <v>372164.89999999997</v>
      </c>
    </row>
    <row r="14" spans="1:6" ht="12.75">
      <c r="A14" s="60">
        <v>11010000</v>
      </c>
      <c r="B14" s="61" t="s">
        <v>148</v>
      </c>
      <c r="C14" s="82">
        <v>362371.6</v>
      </c>
      <c r="D14" s="60" t="s">
        <v>146</v>
      </c>
      <c r="E14" s="60" t="s">
        <v>146</v>
      </c>
      <c r="F14" s="62">
        <f>C14</f>
        <v>362371.6</v>
      </c>
    </row>
    <row r="15" spans="1:6" ht="12.75">
      <c r="A15" s="60">
        <v>11020000</v>
      </c>
      <c r="B15" s="61" t="s">
        <v>149</v>
      </c>
      <c r="C15" s="62">
        <f>C16</f>
        <v>9793.3</v>
      </c>
      <c r="D15" s="60" t="s">
        <v>146</v>
      </c>
      <c r="E15" s="60" t="s">
        <v>146</v>
      </c>
      <c r="F15" s="62">
        <f>C15</f>
        <v>9793.3</v>
      </c>
    </row>
    <row r="16" spans="1:6" ht="39">
      <c r="A16" s="60">
        <v>11020200</v>
      </c>
      <c r="B16" s="61" t="s">
        <v>150</v>
      </c>
      <c r="C16" s="65">
        <f>7500+643.3+1300+350</f>
        <v>9793.3</v>
      </c>
      <c r="D16" s="60" t="s">
        <v>146</v>
      </c>
      <c r="E16" s="60" t="s">
        <v>146</v>
      </c>
      <c r="F16" s="62">
        <f>C16</f>
        <v>9793.3</v>
      </c>
    </row>
    <row r="17" spans="1:6" ht="12.75">
      <c r="A17" s="60">
        <v>12000000</v>
      </c>
      <c r="B17" s="61" t="s">
        <v>151</v>
      </c>
      <c r="C17" s="60" t="s">
        <v>146</v>
      </c>
      <c r="D17" s="60">
        <f>D18</f>
        <v>26567.1</v>
      </c>
      <c r="E17" s="60" t="s">
        <v>146</v>
      </c>
      <c r="F17" s="62">
        <f>F18</f>
        <v>26567.1</v>
      </c>
    </row>
    <row r="18" spans="1:6" ht="39">
      <c r="A18" s="60">
        <v>12020000</v>
      </c>
      <c r="B18" s="61" t="s">
        <v>152</v>
      </c>
      <c r="C18" s="62" t="s">
        <v>146</v>
      </c>
      <c r="D18" s="82">
        <v>26567.1</v>
      </c>
      <c r="E18" s="60" t="s">
        <v>146</v>
      </c>
      <c r="F18" s="62">
        <v>26567.1</v>
      </c>
    </row>
    <row r="19" spans="1:6" ht="26.25">
      <c r="A19" s="60">
        <v>13000000</v>
      </c>
      <c r="B19" s="61" t="s">
        <v>153</v>
      </c>
      <c r="C19" s="62">
        <f>C20</f>
        <v>61000</v>
      </c>
      <c r="D19" s="60" t="s">
        <v>146</v>
      </c>
      <c r="E19" s="60" t="s">
        <v>146</v>
      </c>
      <c r="F19" s="62">
        <f>F20</f>
        <v>61000</v>
      </c>
    </row>
    <row r="20" spans="1:6" ht="12.75">
      <c r="A20" s="60">
        <v>13050000</v>
      </c>
      <c r="B20" s="61" t="s">
        <v>154</v>
      </c>
      <c r="C20" s="65">
        <v>61000</v>
      </c>
      <c r="D20" s="60" t="s">
        <v>146</v>
      </c>
      <c r="E20" s="60" t="s">
        <v>146</v>
      </c>
      <c r="F20" s="62">
        <v>61000</v>
      </c>
    </row>
    <row r="21" spans="1:6" ht="26.25">
      <c r="A21" s="60">
        <v>14000000</v>
      </c>
      <c r="B21" s="61" t="s">
        <v>155</v>
      </c>
      <c r="C21" s="62">
        <f>C22+C23+C24</f>
        <v>13330</v>
      </c>
      <c r="D21" s="62">
        <f>D25</f>
        <v>1250</v>
      </c>
      <c r="E21" s="60" t="s">
        <v>146</v>
      </c>
      <c r="F21" s="62">
        <f>C21+D21</f>
        <v>14580</v>
      </c>
    </row>
    <row r="22" spans="1:6" ht="26.25">
      <c r="A22" s="60">
        <v>14060200</v>
      </c>
      <c r="B22" s="61" t="s">
        <v>156</v>
      </c>
      <c r="C22" s="65">
        <v>300</v>
      </c>
      <c r="D22" s="60" t="s">
        <v>146</v>
      </c>
      <c r="E22" s="60" t="s">
        <v>146</v>
      </c>
      <c r="F22" s="62">
        <f>C22</f>
        <v>300</v>
      </c>
    </row>
    <row r="23" spans="1:6" ht="105">
      <c r="A23" s="60">
        <v>14060300</v>
      </c>
      <c r="B23" s="61" t="s">
        <v>157</v>
      </c>
      <c r="C23" s="65">
        <v>30</v>
      </c>
      <c r="D23" s="60" t="s">
        <v>146</v>
      </c>
      <c r="E23" s="60" t="s">
        <v>146</v>
      </c>
      <c r="F23" s="62">
        <f>C23</f>
        <v>30</v>
      </c>
    </row>
    <row r="24" spans="1:6" ht="39">
      <c r="A24" s="60">
        <v>14061100</v>
      </c>
      <c r="B24" s="61" t="s">
        <v>158</v>
      </c>
      <c r="C24" s="65">
        <v>13000</v>
      </c>
      <c r="D24" s="60" t="s">
        <v>146</v>
      </c>
      <c r="E24" s="60" t="s">
        <v>146</v>
      </c>
      <c r="F24" s="62">
        <f>C24</f>
        <v>13000</v>
      </c>
    </row>
    <row r="25" spans="1:6" ht="39">
      <c r="A25" s="60">
        <v>14070000</v>
      </c>
      <c r="B25" s="61" t="s">
        <v>159</v>
      </c>
      <c r="C25" s="60" t="s">
        <v>146</v>
      </c>
      <c r="D25" s="62">
        <f>D26</f>
        <v>1250</v>
      </c>
      <c r="E25" s="60" t="s">
        <v>146</v>
      </c>
      <c r="F25" s="62">
        <f>F26</f>
        <v>1250</v>
      </c>
    </row>
    <row r="26" spans="1:6" ht="52.5">
      <c r="A26" s="60">
        <v>14071500</v>
      </c>
      <c r="B26" s="61" t="s">
        <v>160</v>
      </c>
      <c r="C26" s="62" t="s">
        <v>146</v>
      </c>
      <c r="D26" s="65">
        <v>1250</v>
      </c>
      <c r="E26" s="60" t="s">
        <v>146</v>
      </c>
      <c r="F26" s="62">
        <f>D26</f>
        <v>1250</v>
      </c>
    </row>
    <row r="27" spans="1:6" s="96" customFormat="1" ht="12.75">
      <c r="A27" s="92">
        <v>20000000</v>
      </c>
      <c r="B27" s="93" t="s">
        <v>161</v>
      </c>
      <c r="C27" s="94">
        <f>C28+C31+C33+C36</f>
        <v>2976.3</v>
      </c>
      <c r="D27" s="94">
        <f>D30+D36</f>
        <v>17232.3</v>
      </c>
      <c r="E27" s="92" t="s">
        <v>146</v>
      </c>
      <c r="F27" s="94">
        <f>C27+D27</f>
        <v>20208.6</v>
      </c>
    </row>
    <row r="28" spans="1:6" ht="26.25">
      <c r="A28" s="60">
        <v>21000000</v>
      </c>
      <c r="B28" s="61" t="s">
        <v>244</v>
      </c>
      <c r="C28" s="62">
        <f>C29</f>
        <v>2000</v>
      </c>
      <c r="D28" s="60" t="s">
        <v>146</v>
      </c>
      <c r="E28" s="60" t="s">
        <v>146</v>
      </c>
      <c r="F28" s="62">
        <f>C28</f>
        <v>2000</v>
      </c>
    </row>
    <row r="29" spans="1:6" ht="52.5">
      <c r="A29" s="60">
        <v>21040000</v>
      </c>
      <c r="B29" s="61" t="s">
        <v>163</v>
      </c>
      <c r="C29" s="62">
        <f>1500+500</f>
        <v>2000</v>
      </c>
      <c r="D29" s="60" t="s">
        <v>146</v>
      </c>
      <c r="E29" s="60" t="s">
        <v>146</v>
      </c>
      <c r="F29" s="62">
        <f>C29</f>
        <v>2000</v>
      </c>
    </row>
    <row r="30" spans="1:6" ht="39">
      <c r="A30" s="60">
        <v>21110000</v>
      </c>
      <c r="B30" s="61" t="s">
        <v>196</v>
      </c>
      <c r="C30" s="62" t="s">
        <v>146</v>
      </c>
      <c r="D30" s="62">
        <v>742.9</v>
      </c>
      <c r="E30" s="60" t="s">
        <v>146</v>
      </c>
      <c r="F30" s="62">
        <f>D30</f>
        <v>742.9</v>
      </c>
    </row>
    <row r="31" spans="1:6" ht="39">
      <c r="A31" s="60">
        <v>22000000</v>
      </c>
      <c r="B31" s="61" t="s">
        <v>164</v>
      </c>
      <c r="C31" s="62">
        <f>C32</f>
        <v>750.3</v>
      </c>
      <c r="D31" s="60" t="s">
        <v>146</v>
      </c>
      <c r="E31" s="60" t="s">
        <v>146</v>
      </c>
      <c r="F31" s="62">
        <f>C31</f>
        <v>750.3</v>
      </c>
    </row>
    <row r="32" spans="1:6" ht="38.25" customHeight="1">
      <c r="A32" s="60">
        <v>22080000</v>
      </c>
      <c r="B32" s="63" t="s">
        <v>165</v>
      </c>
      <c r="C32" s="65">
        <v>750.3</v>
      </c>
      <c r="D32" s="60" t="s">
        <v>146</v>
      </c>
      <c r="E32" s="60" t="s">
        <v>146</v>
      </c>
      <c r="F32" s="62">
        <f>C32</f>
        <v>750.3</v>
      </c>
    </row>
    <row r="33" spans="1:6" ht="26.25">
      <c r="A33" s="60">
        <v>23000000</v>
      </c>
      <c r="B33" s="61" t="s">
        <v>166</v>
      </c>
      <c r="C33" s="62">
        <v>111</v>
      </c>
      <c r="D33" s="60" t="s">
        <v>146</v>
      </c>
      <c r="E33" s="60" t="s">
        <v>146</v>
      </c>
      <c r="F33" s="62">
        <f>C33</f>
        <v>111</v>
      </c>
    </row>
    <row r="34" spans="1:6" ht="118.5" hidden="1">
      <c r="A34" s="60">
        <v>23020000</v>
      </c>
      <c r="B34" s="61" t="s">
        <v>197</v>
      </c>
      <c r="C34" s="64" t="s">
        <v>146</v>
      </c>
      <c r="D34" s="64" t="s">
        <v>146</v>
      </c>
      <c r="E34" s="64" t="s">
        <v>146</v>
      </c>
      <c r="F34" s="64" t="s">
        <v>146</v>
      </c>
    </row>
    <row r="35" spans="1:6" ht="26.25">
      <c r="A35" s="60">
        <v>23030000</v>
      </c>
      <c r="B35" s="61" t="s">
        <v>167</v>
      </c>
      <c r="C35" s="65">
        <v>111</v>
      </c>
      <c r="D35" s="60" t="s">
        <v>146</v>
      </c>
      <c r="E35" s="60" t="s">
        <v>146</v>
      </c>
      <c r="F35" s="62">
        <f>C35</f>
        <v>111</v>
      </c>
    </row>
    <row r="36" spans="1:6" ht="12.75">
      <c r="A36" s="60">
        <v>24000000</v>
      </c>
      <c r="B36" s="61" t="s">
        <v>168</v>
      </c>
      <c r="C36" s="65">
        <f>C39</f>
        <v>115</v>
      </c>
      <c r="D36" s="60">
        <f>D40</f>
        <v>16489.399999999998</v>
      </c>
      <c r="E36" s="60" t="s">
        <v>146</v>
      </c>
      <c r="F36" s="62">
        <f>C36+D36</f>
        <v>16604.399999999998</v>
      </c>
    </row>
    <row r="37" spans="1:6" ht="12.75" hidden="1">
      <c r="A37" s="60"/>
      <c r="B37" s="61"/>
      <c r="C37" s="62">
        <v>0</v>
      </c>
      <c r="D37" s="60" t="s">
        <v>146</v>
      </c>
      <c r="E37" s="60" t="s">
        <v>146</v>
      </c>
      <c r="F37" s="62">
        <v>0</v>
      </c>
    </row>
    <row r="38" spans="1:6" ht="66" hidden="1">
      <c r="A38" s="60">
        <v>24030000</v>
      </c>
      <c r="B38" s="61" t="s">
        <v>169</v>
      </c>
      <c r="C38" s="64" t="s">
        <v>146</v>
      </c>
      <c r="D38" s="64" t="s">
        <v>146</v>
      </c>
      <c r="E38" s="64" t="s">
        <v>146</v>
      </c>
      <c r="F38" s="64" t="s">
        <v>146</v>
      </c>
    </row>
    <row r="39" spans="1:6" ht="12.75">
      <c r="A39" s="60">
        <v>24060300</v>
      </c>
      <c r="B39" s="61" t="s">
        <v>170</v>
      </c>
      <c r="C39" s="62">
        <v>115</v>
      </c>
      <c r="D39" s="60" t="s">
        <v>146</v>
      </c>
      <c r="E39" s="60" t="s">
        <v>146</v>
      </c>
      <c r="F39" s="62">
        <f>C39</f>
        <v>115</v>
      </c>
    </row>
    <row r="40" spans="1:6" ht="26.25">
      <c r="A40" s="60">
        <v>24120000</v>
      </c>
      <c r="B40" s="61" t="s">
        <v>171</v>
      </c>
      <c r="C40" s="62" t="s">
        <v>146</v>
      </c>
      <c r="D40" s="65">
        <f>12870.3+3619.1</f>
        <v>16489.399999999998</v>
      </c>
      <c r="E40" s="60" t="s">
        <v>146</v>
      </c>
      <c r="F40" s="62">
        <f>D40</f>
        <v>16489.399999999998</v>
      </c>
    </row>
    <row r="41" spans="1:6" ht="66">
      <c r="A41" s="60">
        <v>31030000</v>
      </c>
      <c r="B41" s="61" t="s">
        <v>172</v>
      </c>
      <c r="C41" s="62" t="s">
        <v>146</v>
      </c>
      <c r="D41" s="82">
        <v>1452.5</v>
      </c>
      <c r="E41" s="82">
        <f>D41</f>
        <v>1452.5</v>
      </c>
      <c r="F41" s="62">
        <f>D41</f>
        <v>1452.5</v>
      </c>
    </row>
    <row r="42" spans="1:6" ht="12.75">
      <c r="A42" s="60">
        <v>50000000</v>
      </c>
      <c r="B42" s="61" t="s">
        <v>173</v>
      </c>
      <c r="C42" s="62" t="s">
        <v>146</v>
      </c>
      <c r="D42" s="60">
        <f>D43+D44</f>
        <v>25531.699999999997</v>
      </c>
      <c r="E42" s="60" t="s">
        <v>146</v>
      </c>
      <c r="F42" s="62">
        <f>D42</f>
        <v>25531.699999999997</v>
      </c>
    </row>
    <row r="43" spans="1:6" ht="26.25">
      <c r="A43" s="60">
        <v>50080000</v>
      </c>
      <c r="B43" s="61" t="s">
        <v>174</v>
      </c>
      <c r="C43" s="62" t="s">
        <v>146</v>
      </c>
      <c r="D43" s="82">
        <v>23470.6</v>
      </c>
      <c r="E43" s="62" t="s">
        <v>146</v>
      </c>
      <c r="F43" s="62">
        <f>D43</f>
        <v>23470.6</v>
      </c>
    </row>
    <row r="44" spans="1:6" ht="66" customHeight="1">
      <c r="A44" s="60">
        <v>50110000</v>
      </c>
      <c r="B44" s="61" t="s">
        <v>175</v>
      </c>
      <c r="C44" s="62" t="s">
        <v>146</v>
      </c>
      <c r="D44" s="60">
        <v>2061.1</v>
      </c>
      <c r="E44" s="62" t="s">
        <v>146</v>
      </c>
      <c r="F44" s="62">
        <f>D44</f>
        <v>2061.1</v>
      </c>
    </row>
    <row r="45" spans="1:6" s="83" customFormat="1" ht="12.75">
      <c r="A45" s="68"/>
      <c r="B45" s="52" t="s">
        <v>176</v>
      </c>
      <c r="C45" s="66">
        <f>C12+C27</f>
        <v>449471.19999999995</v>
      </c>
      <c r="D45" s="66">
        <f>D12+D27+D41+D42</f>
        <v>72033.59999999999</v>
      </c>
      <c r="E45" s="67">
        <f>E41</f>
        <v>1452.5</v>
      </c>
      <c r="F45" s="67">
        <f>C45+D45</f>
        <v>521504.79999999993</v>
      </c>
    </row>
    <row r="46" spans="1:6" s="83" customFormat="1" ht="12.75">
      <c r="A46" s="68"/>
      <c r="B46" s="52"/>
      <c r="C46" s="66"/>
      <c r="D46" s="66"/>
      <c r="E46" s="67"/>
      <c r="F46" s="67"/>
    </row>
    <row r="47" spans="1:6" ht="12.75">
      <c r="A47" s="68">
        <v>40000000</v>
      </c>
      <c r="B47" s="52" t="s">
        <v>177</v>
      </c>
      <c r="C47" s="67">
        <f>C48+C49+C55</f>
        <v>67398.50000000003</v>
      </c>
      <c r="D47" s="67">
        <f>D49+D55</f>
        <v>38368.5</v>
      </c>
      <c r="E47" s="67">
        <f>E49+E55</f>
        <v>38368.5</v>
      </c>
      <c r="F47" s="67">
        <f>C47+D47</f>
        <v>105767.00000000003</v>
      </c>
    </row>
    <row r="48" spans="1:6" ht="26.25">
      <c r="A48" s="60">
        <v>41020400</v>
      </c>
      <c r="B48" s="61" t="s">
        <v>201</v>
      </c>
      <c r="C48" s="62">
        <v>13705.5</v>
      </c>
      <c r="D48" s="60" t="s">
        <v>146</v>
      </c>
      <c r="E48" s="60" t="s">
        <v>146</v>
      </c>
      <c r="F48" s="62">
        <f>C48</f>
        <v>13705.5</v>
      </c>
    </row>
    <row r="49" spans="1:6" ht="13.5">
      <c r="A49" s="85">
        <v>41030000</v>
      </c>
      <c r="B49" s="86" t="s">
        <v>178</v>
      </c>
      <c r="C49" s="87">
        <f>C52+C53+C54</f>
        <v>53693.00000000002</v>
      </c>
      <c r="D49" s="87">
        <f>D52+D53+D54</f>
        <v>23996.3</v>
      </c>
      <c r="E49" s="87">
        <f>E52+E53+E54</f>
        <v>23996.3</v>
      </c>
      <c r="F49" s="87">
        <f>C49+D49</f>
        <v>77689.30000000002</v>
      </c>
    </row>
    <row r="50" spans="1:6" ht="26.25" hidden="1">
      <c r="A50" s="60">
        <v>42000000</v>
      </c>
      <c r="B50" s="61" t="s">
        <v>179</v>
      </c>
      <c r="C50" s="60" t="s">
        <v>146</v>
      </c>
      <c r="D50" s="60" t="s">
        <v>146</v>
      </c>
      <c r="E50" s="60" t="s">
        <v>146</v>
      </c>
      <c r="F50" s="62" t="e">
        <f aca="true" t="shared" si="0" ref="F50:F55">C50+D50</f>
        <v>#VALUE!</v>
      </c>
    </row>
    <row r="51" spans="1:6" ht="26.25" hidden="1">
      <c r="A51" s="60">
        <v>42020000</v>
      </c>
      <c r="B51" s="61" t="s">
        <v>180</v>
      </c>
      <c r="C51" s="60" t="s">
        <v>146</v>
      </c>
      <c r="D51" s="60" t="s">
        <v>146</v>
      </c>
      <c r="E51" s="60" t="s">
        <v>146</v>
      </c>
      <c r="F51" s="62" t="e">
        <f t="shared" si="0"/>
        <v>#VALUE!</v>
      </c>
    </row>
    <row r="52" spans="1:6" ht="26.25">
      <c r="A52" s="60">
        <v>41030400</v>
      </c>
      <c r="B52" s="61" t="s">
        <v>198</v>
      </c>
      <c r="C52" s="60"/>
      <c r="D52" s="60">
        <v>22506.3</v>
      </c>
      <c r="E52" s="60">
        <v>22506.3</v>
      </c>
      <c r="F52" s="62">
        <f t="shared" si="0"/>
        <v>22506.3</v>
      </c>
    </row>
    <row r="53" spans="1:6" ht="26.25">
      <c r="A53" s="60">
        <v>41030500</v>
      </c>
      <c r="B53" s="61" t="s">
        <v>208</v>
      </c>
      <c r="C53" s="60">
        <v>28633.2</v>
      </c>
      <c r="D53" s="60">
        <v>1490</v>
      </c>
      <c r="E53" s="60">
        <v>1490</v>
      </c>
      <c r="F53" s="62">
        <f t="shared" si="0"/>
        <v>30123.2</v>
      </c>
    </row>
    <row r="54" spans="1:6" s="96" customFormat="1" ht="43.5" customHeight="1">
      <c r="A54" s="36" t="s">
        <v>258</v>
      </c>
      <c r="B54" s="158" t="s">
        <v>199</v>
      </c>
      <c r="C54" s="94">
        <f>385994.5-338534.6-9012.3-13387.8</f>
        <v>25059.80000000002</v>
      </c>
      <c r="D54" s="92"/>
      <c r="E54" s="92"/>
      <c r="F54" s="94">
        <f t="shared" si="0"/>
        <v>25059.80000000002</v>
      </c>
    </row>
    <row r="55" spans="1:6" ht="39">
      <c r="A55" s="64">
        <v>43010000</v>
      </c>
      <c r="B55" s="61" t="s">
        <v>181</v>
      </c>
      <c r="C55" s="62"/>
      <c r="D55" s="62">
        <f>7890+5482.2+1000</f>
        <v>14372.2</v>
      </c>
      <c r="E55" s="62">
        <f>7890+5482.2+1000</f>
        <v>14372.2</v>
      </c>
      <c r="F55" s="62">
        <f t="shared" si="0"/>
        <v>14372.2</v>
      </c>
    </row>
    <row r="56" spans="1:6" s="83" customFormat="1" ht="12.75">
      <c r="A56" s="68"/>
      <c r="B56" s="52" t="s">
        <v>182</v>
      </c>
      <c r="C56" s="67">
        <f>C45+C47</f>
        <v>516869.69999999995</v>
      </c>
      <c r="D56" s="67">
        <f>D45+D47</f>
        <v>110402.09999999999</v>
      </c>
      <c r="E56" s="67">
        <f>E47+E45</f>
        <v>39821</v>
      </c>
      <c r="F56" s="67">
        <f>C56+D56</f>
        <v>627271.7999999999</v>
      </c>
    </row>
    <row r="58" spans="3:4" ht="12">
      <c r="C58" s="151"/>
      <c r="D58" s="151"/>
    </row>
  </sheetData>
  <mergeCells count="4">
    <mergeCell ref="C9:C10"/>
    <mergeCell ref="F9:F10"/>
    <mergeCell ref="B9:B10"/>
    <mergeCell ref="A9:A10"/>
  </mergeCells>
  <printOptions/>
  <pageMargins left="0.6" right="0.54" top="0.16" bottom="0.5" header="0.07" footer="0.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81">
      <selection activeCell="H96" sqref="H96"/>
    </sheetView>
  </sheetViews>
  <sheetFormatPr defaultColWidth="9.00390625" defaultRowHeight="12.75"/>
  <cols>
    <col min="1" max="1" width="6.875" style="5" customWidth="1"/>
    <col min="2" max="2" width="28.125" style="6" customWidth="1"/>
    <col min="3" max="3" width="8.75390625" style="7" customWidth="1"/>
    <col min="4" max="4" width="8.875" style="7" customWidth="1"/>
    <col min="5" max="5" width="8.25390625" style="7" customWidth="1"/>
    <col min="6" max="6" width="9.00390625" style="7" customWidth="1"/>
    <col min="7" max="7" width="8.00390625" style="7" customWidth="1"/>
    <col min="8" max="8" width="8.875" style="7" customWidth="1"/>
    <col min="9" max="9" width="7.375" style="7" customWidth="1"/>
    <col min="10" max="10" width="6.50390625" style="7" customWidth="1"/>
    <col min="11" max="11" width="8.50390625" style="7" customWidth="1"/>
    <col min="12" max="16384" width="8.875" style="7" customWidth="1"/>
  </cols>
  <sheetData>
    <row r="1" spans="5:10" ht="12" customHeight="1">
      <c r="E1" s="208" t="s">
        <v>104</v>
      </c>
      <c r="F1" s="208"/>
      <c r="G1" s="208"/>
      <c r="H1" s="208"/>
      <c r="I1" s="8"/>
      <c r="J1" s="8"/>
    </row>
    <row r="2" spans="5:10" ht="16.5" customHeight="1">
      <c r="E2" s="9" t="s">
        <v>114</v>
      </c>
      <c r="F2" s="9"/>
      <c r="G2" s="9"/>
      <c r="H2" s="9"/>
      <c r="I2" s="9"/>
      <c r="J2" s="9"/>
    </row>
    <row r="3" spans="5:10" ht="12.75">
      <c r="E3" s="204" t="s">
        <v>188</v>
      </c>
      <c r="F3" s="204"/>
      <c r="G3" s="204"/>
      <c r="H3" s="204"/>
      <c r="I3" s="204"/>
      <c r="J3" s="50"/>
    </row>
    <row r="5" spans="2:8" ht="13.5" customHeight="1">
      <c r="B5" s="5"/>
      <c r="C5" s="51"/>
      <c r="D5" s="51"/>
      <c r="E5" s="51"/>
      <c r="F5" s="51"/>
      <c r="G5" s="51"/>
      <c r="H5" s="51"/>
    </row>
    <row r="6" spans="1:10" ht="15">
      <c r="A6" s="209" t="s">
        <v>183</v>
      </c>
      <c r="B6" s="209"/>
      <c r="C6" s="209"/>
      <c r="D6" s="209"/>
      <c r="E6" s="209"/>
      <c r="F6" s="209"/>
      <c r="G6" s="209"/>
      <c r="H6" s="209"/>
      <c r="I6" s="10"/>
      <c r="J6" s="10"/>
    </row>
    <row r="7" spans="1:12" ht="15" customHeight="1">
      <c r="A7" s="209" t="s">
        <v>184</v>
      </c>
      <c r="B7" s="209"/>
      <c r="C7" s="209"/>
      <c r="D7" s="209"/>
      <c r="E7" s="209"/>
      <c r="F7" s="209"/>
      <c r="G7" s="209"/>
      <c r="H7" s="209"/>
      <c r="I7" s="11"/>
      <c r="J7" s="11"/>
      <c r="K7" s="12"/>
      <c r="L7" s="12"/>
    </row>
    <row r="8" spans="6:12" ht="13.5" thickBot="1">
      <c r="F8" s="13"/>
      <c r="G8" s="13"/>
      <c r="H8" s="14" t="s">
        <v>0</v>
      </c>
      <c r="I8" s="15"/>
      <c r="J8" s="15"/>
      <c r="K8" s="12"/>
      <c r="L8" s="12"/>
    </row>
    <row r="9" spans="1:12" ht="25.5" customHeight="1" thickBot="1">
      <c r="A9" s="210" t="s">
        <v>1</v>
      </c>
      <c r="B9" s="205" t="s">
        <v>3</v>
      </c>
      <c r="C9" s="214" t="s">
        <v>2</v>
      </c>
      <c r="D9" s="215"/>
      <c r="E9" s="215"/>
      <c r="F9" s="215"/>
      <c r="G9" s="216"/>
      <c r="H9" s="198" t="s">
        <v>91</v>
      </c>
      <c r="I9" s="199"/>
      <c r="J9" s="200"/>
      <c r="K9" s="205" t="s">
        <v>92</v>
      </c>
      <c r="L9" s="16"/>
    </row>
    <row r="10" spans="1:12" ht="24" customHeight="1" thickBot="1">
      <c r="A10" s="211"/>
      <c r="B10" s="206"/>
      <c r="C10" s="213" t="s">
        <v>4</v>
      </c>
      <c r="D10" s="213" t="s">
        <v>90</v>
      </c>
      <c r="E10" s="217"/>
      <c r="F10" s="217"/>
      <c r="G10" s="195"/>
      <c r="H10" s="203" t="s">
        <v>4</v>
      </c>
      <c r="I10" s="70" t="s">
        <v>110</v>
      </c>
      <c r="J10" s="201" t="s">
        <v>193</v>
      </c>
      <c r="K10" s="206"/>
      <c r="L10" s="16"/>
    </row>
    <row r="11" spans="1:12" ht="98.25" customHeight="1" thickBot="1">
      <c r="A11" s="212"/>
      <c r="B11" s="206"/>
      <c r="C11" s="203"/>
      <c r="D11" s="71" t="s">
        <v>88</v>
      </c>
      <c r="E11" s="69" t="s">
        <v>89</v>
      </c>
      <c r="F11" s="69" t="s">
        <v>87</v>
      </c>
      <c r="G11" s="69" t="s">
        <v>192</v>
      </c>
      <c r="H11" s="203"/>
      <c r="I11" s="69" t="s">
        <v>111</v>
      </c>
      <c r="J11" s="202"/>
      <c r="K11" s="207"/>
      <c r="L11" s="16"/>
    </row>
    <row r="12" spans="1:12" ht="13.5" thickBot="1">
      <c r="A12" s="89">
        <v>1</v>
      </c>
      <c r="B12" s="89">
        <v>2</v>
      </c>
      <c r="C12" s="90">
        <v>3</v>
      </c>
      <c r="D12" s="90">
        <v>4</v>
      </c>
      <c r="E12" s="90">
        <v>5</v>
      </c>
      <c r="F12" s="90">
        <v>6</v>
      </c>
      <c r="G12" s="90">
        <v>7</v>
      </c>
      <c r="H12" s="90">
        <v>8</v>
      </c>
      <c r="I12" s="90">
        <v>9</v>
      </c>
      <c r="J12" s="90">
        <v>10</v>
      </c>
      <c r="K12" s="90">
        <v>11</v>
      </c>
      <c r="L12" s="12"/>
    </row>
    <row r="13" spans="1:12" s="20" customFormat="1" ht="26.25">
      <c r="A13" s="17" t="s">
        <v>5</v>
      </c>
      <c r="B13" s="18" t="s">
        <v>119</v>
      </c>
      <c r="C13" s="2">
        <f>D13+E13+F13</f>
        <v>5813</v>
      </c>
      <c r="D13" s="2">
        <f>D14</f>
        <v>394.5</v>
      </c>
      <c r="E13" s="2">
        <f>E14</f>
        <v>787.4</v>
      </c>
      <c r="F13" s="2">
        <f>F14</f>
        <v>4631.1</v>
      </c>
      <c r="G13" s="2"/>
      <c r="H13" s="2">
        <f>H14</f>
        <v>0</v>
      </c>
      <c r="I13" s="2"/>
      <c r="J13" s="2"/>
      <c r="K13" s="2">
        <f>C13+H13</f>
        <v>5813</v>
      </c>
      <c r="L13" s="19"/>
    </row>
    <row r="14" spans="1:13" ht="16.5" customHeight="1">
      <c r="A14" s="21" t="s">
        <v>6</v>
      </c>
      <c r="B14" s="22" t="s">
        <v>7</v>
      </c>
      <c r="C14" s="23">
        <f aca="true" t="shared" si="0" ref="C14:C78">D14+E14+F14</f>
        <v>5813</v>
      </c>
      <c r="D14" s="23">
        <v>394.5</v>
      </c>
      <c r="E14" s="23">
        <v>787.4</v>
      </c>
      <c r="F14" s="23">
        <f>4631.1</f>
        <v>4631.1</v>
      </c>
      <c r="G14" s="23"/>
      <c r="H14" s="23"/>
      <c r="I14" s="23"/>
      <c r="J14" s="23"/>
      <c r="K14" s="23">
        <f aca="true" t="shared" si="1" ref="K14:K78">C14+H14</f>
        <v>5813</v>
      </c>
      <c r="L14" s="12"/>
      <c r="M14" s="20"/>
    </row>
    <row r="15" spans="1:13" ht="25.5" customHeight="1">
      <c r="A15" s="24" t="s">
        <v>8</v>
      </c>
      <c r="B15" s="25" t="s">
        <v>113</v>
      </c>
      <c r="C15" s="2">
        <f>D15+E15+F15+G15</f>
        <v>8298.9</v>
      </c>
      <c r="D15" s="2">
        <f>SUM(D17:D23)</f>
        <v>0</v>
      </c>
      <c r="E15" s="2">
        <f>SUM(E17:E23)</f>
        <v>0</v>
      </c>
      <c r="F15" s="2">
        <f>SUM(F17:F23)</f>
        <v>5080</v>
      </c>
      <c r="G15" s="2">
        <f>SUM(G17:G24)</f>
        <v>3218.9</v>
      </c>
      <c r="H15" s="2">
        <f>SUM(H17:H23)</f>
        <v>0</v>
      </c>
      <c r="I15" s="2"/>
      <c r="J15" s="2"/>
      <c r="K15" s="2">
        <f t="shared" si="1"/>
        <v>8298.9</v>
      </c>
      <c r="L15" s="12"/>
      <c r="M15" s="20"/>
    </row>
    <row r="16" spans="1:13" ht="26.25" hidden="1">
      <c r="A16" s="24" t="s">
        <v>9</v>
      </c>
      <c r="B16" s="25" t="s">
        <v>10</v>
      </c>
      <c r="C16" s="2">
        <f aca="true" t="shared" si="2" ref="C16:C24">D16+E16+F16+G16</f>
        <v>0</v>
      </c>
      <c r="D16" s="2">
        <f>SUM(D17:D23)</f>
        <v>0</v>
      </c>
      <c r="E16" s="2">
        <f>SUM(E17:E23)</f>
        <v>0</v>
      </c>
      <c r="F16" s="2"/>
      <c r="G16" s="2"/>
      <c r="H16" s="2">
        <f>H17</f>
        <v>0</v>
      </c>
      <c r="I16" s="2"/>
      <c r="J16" s="2"/>
      <c r="K16" s="23">
        <f t="shared" si="1"/>
        <v>0</v>
      </c>
      <c r="L16" s="12"/>
      <c r="M16" s="20"/>
    </row>
    <row r="17" spans="1:13" ht="24" customHeight="1" hidden="1">
      <c r="A17" s="21" t="s">
        <v>11</v>
      </c>
      <c r="B17" s="22" t="s">
        <v>12</v>
      </c>
      <c r="C17" s="2">
        <f t="shared" si="2"/>
        <v>0</v>
      </c>
      <c r="D17" s="2"/>
      <c r="E17" s="2"/>
      <c r="F17" s="2"/>
      <c r="G17" s="2"/>
      <c r="H17" s="2"/>
      <c r="I17" s="2"/>
      <c r="J17" s="2"/>
      <c r="K17" s="23">
        <f t="shared" si="1"/>
        <v>0</v>
      </c>
      <c r="L17" s="12"/>
      <c r="M17" s="20"/>
    </row>
    <row r="18" spans="1:13" ht="26.25" hidden="1">
      <c r="A18" s="21" t="s">
        <v>13</v>
      </c>
      <c r="B18" s="22" t="s">
        <v>14</v>
      </c>
      <c r="C18" s="2">
        <f t="shared" si="2"/>
        <v>0</v>
      </c>
      <c r="D18" s="23"/>
      <c r="E18" s="23"/>
      <c r="F18" s="23"/>
      <c r="G18" s="23"/>
      <c r="H18" s="23"/>
      <c r="I18" s="23"/>
      <c r="J18" s="23"/>
      <c r="K18" s="23">
        <f t="shared" si="1"/>
        <v>0</v>
      </c>
      <c r="L18" s="12"/>
      <c r="M18" s="20"/>
    </row>
    <row r="19" spans="1:13" ht="25.5" customHeight="1">
      <c r="A19" s="21" t="s">
        <v>15</v>
      </c>
      <c r="B19" s="26" t="s">
        <v>16</v>
      </c>
      <c r="C19" s="23">
        <f t="shared" si="2"/>
        <v>890</v>
      </c>
      <c r="D19" s="23"/>
      <c r="E19" s="23"/>
      <c r="F19" s="23">
        <v>800</v>
      </c>
      <c r="G19" s="23">
        <v>90</v>
      </c>
      <c r="H19" s="23"/>
      <c r="I19" s="23"/>
      <c r="J19" s="23"/>
      <c r="K19" s="23">
        <f t="shared" si="1"/>
        <v>890</v>
      </c>
      <c r="L19" s="12"/>
      <c r="M19" s="20"/>
    </row>
    <row r="20" spans="1:13" ht="15" customHeight="1" hidden="1">
      <c r="A20" s="21" t="s">
        <v>17</v>
      </c>
      <c r="B20" s="26" t="s">
        <v>18</v>
      </c>
      <c r="C20" s="23">
        <f t="shared" si="2"/>
        <v>0</v>
      </c>
      <c r="D20" s="23"/>
      <c r="E20" s="23"/>
      <c r="F20" s="23"/>
      <c r="G20" s="23"/>
      <c r="H20" s="23">
        <f>H21+H22+H23</f>
        <v>0</v>
      </c>
      <c r="I20" s="23"/>
      <c r="J20" s="23"/>
      <c r="K20" s="23">
        <f t="shared" si="1"/>
        <v>0</v>
      </c>
      <c r="L20" s="12"/>
      <c r="M20" s="20"/>
    </row>
    <row r="21" spans="1:13" ht="26.25" hidden="1">
      <c r="A21" s="21" t="s">
        <v>19</v>
      </c>
      <c r="B21" s="22" t="s">
        <v>20</v>
      </c>
      <c r="C21" s="23">
        <f t="shared" si="2"/>
        <v>0</v>
      </c>
      <c r="D21" s="23"/>
      <c r="E21" s="23"/>
      <c r="F21" s="23"/>
      <c r="G21" s="23"/>
      <c r="H21" s="23"/>
      <c r="I21" s="23"/>
      <c r="J21" s="23"/>
      <c r="K21" s="23">
        <f t="shared" si="1"/>
        <v>0</v>
      </c>
      <c r="L21" s="12"/>
      <c r="M21" s="20"/>
    </row>
    <row r="22" spans="1:13" ht="12.75" customHeight="1" hidden="1">
      <c r="A22" s="21" t="s">
        <v>21</v>
      </c>
      <c r="B22" s="22" t="s">
        <v>22</v>
      </c>
      <c r="C22" s="23">
        <f t="shared" si="2"/>
        <v>0</v>
      </c>
      <c r="D22" s="23"/>
      <c r="E22" s="23"/>
      <c r="F22" s="23"/>
      <c r="G22" s="23"/>
      <c r="H22" s="23"/>
      <c r="I22" s="23"/>
      <c r="J22" s="23"/>
      <c r="K22" s="23">
        <f t="shared" si="1"/>
        <v>0</v>
      </c>
      <c r="L22" s="12"/>
      <c r="M22" s="20"/>
    </row>
    <row r="23" spans="1:13" ht="26.25" customHeight="1">
      <c r="A23" s="21" t="s">
        <v>23</v>
      </c>
      <c r="B23" s="26" t="s">
        <v>117</v>
      </c>
      <c r="C23" s="23">
        <f t="shared" si="2"/>
        <v>4986.9</v>
      </c>
      <c r="D23" s="23"/>
      <c r="E23" s="23"/>
      <c r="F23" s="23">
        <f>2300+1160+20+800</f>
        <v>4280</v>
      </c>
      <c r="G23" s="23">
        <v>706.9</v>
      </c>
      <c r="H23" s="23"/>
      <c r="I23" s="23"/>
      <c r="J23" s="23"/>
      <c r="K23" s="23">
        <f t="shared" si="1"/>
        <v>4986.9</v>
      </c>
      <c r="L23" s="12"/>
      <c r="M23" s="20"/>
    </row>
    <row r="24" spans="1:13" ht="26.25" customHeight="1">
      <c r="A24" s="21" t="s">
        <v>19</v>
      </c>
      <c r="B24" s="26" t="s">
        <v>20</v>
      </c>
      <c r="C24" s="23">
        <f t="shared" si="2"/>
        <v>2422</v>
      </c>
      <c r="D24" s="23"/>
      <c r="E24" s="23"/>
      <c r="F24" s="23"/>
      <c r="G24" s="23">
        <v>2422</v>
      </c>
      <c r="H24" s="23"/>
      <c r="I24" s="23"/>
      <c r="J24" s="23"/>
      <c r="K24" s="23"/>
      <c r="L24" s="12"/>
      <c r="M24" s="20"/>
    </row>
    <row r="25" spans="1:12" s="20" customFormat="1" ht="16.5" customHeight="1">
      <c r="A25" s="24" t="s">
        <v>24</v>
      </c>
      <c r="B25" s="27" t="s">
        <v>120</v>
      </c>
      <c r="C25" s="4">
        <f aca="true" t="shared" si="3" ref="C25:C30">D25+E25+F25+G25</f>
        <v>88263.8</v>
      </c>
      <c r="D25" s="4">
        <v>34566.9</v>
      </c>
      <c r="E25" s="4">
        <v>8491.4</v>
      </c>
      <c r="F25" s="2">
        <f>39164.5</f>
        <v>39164.5</v>
      </c>
      <c r="G25" s="2">
        <v>6041</v>
      </c>
      <c r="H25" s="2">
        <v>3890.9</v>
      </c>
      <c r="I25" s="2"/>
      <c r="J25" s="2"/>
      <c r="K25" s="2">
        <f t="shared" si="1"/>
        <v>92154.7</v>
      </c>
      <c r="L25" s="19"/>
    </row>
    <row r="26" spans="1:12" s="20" customFormat="1" ht="16.5" customHeight="1">
      <c r="A26" s="24" t="s">
        <v>25</v>
      </c>
      <c r="B26" s="27" t="s">
        <v>121</v>
      </c>
      <c r="C26" s="4">
        <f t="shared" si="3"/>
        <v>191564.5</v>
      </c>
      <c r="D26" s="4">
        <v>70800.2</v>
      </c>
      <c r="E26" s="4">
        <v>15800</v>
      </c>
      <c r="F26" s="4">
        <f>93686.2+700</f>
        <v>94386.2</v>
      </c>
      <c r="G26" s="2">
        <v>10578.1</v>
      </c>
      <c r="H26" s="2">
        <v>7742.6</v>
      </c>
      <c r="I26" s="2">
        <v>1342.5</v>
      </c>
      <c r="J26" s="2"/>
      <c r="K26" s="4">
        <f t="shared" si="1"/>
        <v>199307.1</v>
      </c>
      <c r="L26" s="19"/>
    </row>
    <row r="27" spans="1:12" s="20" customFormat="1" ht="27.75" customHeight="1">
      <c r="A27" s="24" t="s">
        <v>26</v>
      </c>
      <c r="B27" s="27" t="s">
        <v>122</v>
      </c>
      <c r="C27" s="4">
        <f>D27+E27+F27+G27</f>
        <v>44189.99999999999</v>
      </c>
      <c r="D27" s="4">
        <f aca="true" t="shared" si="4" ref="D27:K27">D29+D30+D31+D32+D33+D34+D36+D37+D38+D39+D40</f>
        <v>12349.1</v>
      </c>
      <c r="E27" s="4">
        <f t="shared" si="4"/>
        <v>4587.5</v>
      </c>
      <c r="F27" s="4">
        <f t="shared" si="4"/>
        <v>27217.3</v>
      </c>
      <c r="G27" s="4">
        <f t="shared" si="4"/>
        <v>36.1</v>
      </c>
      <c r="H27" s="4">
        <f t="shared" si="4"/>
        <v>5733.4</v>
      </c>
      <c r="I27" s="4">
        <f t="shared" si="4"/>
        <v>0</v>
      </c>
      <c r="J27" s="4">
        <f t="shared" si="4"/>
        <v>0</v>
      </c>
      <c r="K27" s="4">
        <f t="shared" si="4"/>
        <v>49923.4</v>
      </c>
      <c r="L27" s="19"/>
    </row>
    <row r="28" spans="1:13" ht="26.25" hidden="1">
      <c r="A28" s="21" t="s">
        <v>29</v>
      </c>
      <c r="B28" s="22" t="s">
        <v>30</v>
      </c>
      <c r="C28" s="23">
        <f t="shared" si="3"/>
        <v>0</v>
      </c>
      <c r="D28" s="23"/>
      <c r="E28" s="23"/>
      <c r="F28" s="23"/>
      <c r="G28" s="23"/>
      <c r="H28" s="23"/>
      <c r="I28" s="23"/>
      <c r="J28" s="23"/>
      <c r="K28" s="23">
        <f t="shared" si="1"/>
        <v>0</v>
      </c>
      <c r="L28" s="12"/>
      <c r="M28" s="20"/>
    </row>
    <row r="29" spans="1:13" ht="26.25">
      <c r="A29" s="21" t="s">
        <v>97</v>
      </c>
      <c r="B29" s="22" t="s">
        <v>249</v>
      </c>
      <c r="C29" s="23">
        <f t="shared" si="3"/>
        <v>3.3</v>
      </c>
      <c r="D29" s="23"/>
      <c r="E29" s="23"/>
      <c r="F29" s="23">
        <v>3.3</v>
      </c>
      <c r="G29" s="23"/>
      <c r="H29" s="23"/>
      <c r="I29" s="23"/>
      <c r="J29" s="23"/>
      <c r="K29" s="23">
        <f t="shared" si="1"/>
        <v>3.3</v>
      </c>
      <c r="L29" s="12"/>
      <c r="M29" s="20"/>
    </row>
    <row r="30" spans="1:13" ht="25.5" customHeight="1">
      <c r="A30" s="21" t="s">
        <v>31</v>
      </c>
      <c r="B30" s="22" t="s">
        <v>250</v>
      </c>
      <c r="C30" s="23">
        <f t="shared" si="3"/>
        <v>1184.1</v>
      </c>
      <c r="D30" s="23"/>
      <c r="E30" s="23"/>
      <c r="F30" s="23">
        <f>471+27+650</f>
        <v>1148</v>
      </c>
      <c r="G30" s="23">
        <v>36.1</v>
      </c>
      <c r="H30" s="23">
        <v>130</v>
      </c>
      <c r="I30" s="23"/>
      <c r="J30" s="23"/>
      <c r="K30" s="23">
        <f t="shared" si="1"/>
        <v>1314.1</v>
      </c>
      <c r="L30" s="12"/>
      <c r="M30" s="20"/>
    </row>
    <row r="31" spans="1:13" ht="36" customHeight="1">
      <c r="A31" s="28" t="s">
        <v>33</v>
      </c>
      <c r="B31" s="22" t="s">
        <v>251</v>
      </c>
      <c r="C31" s="23">
        <f t="shared" si="0"/>
        <v>414.9</v>
      </c>
      <c r="D31" s="23"/>
      <c r="E31" s="23"/>
      <c r="F31" s="23">
        <v>414.9</v>
      </c>
      <c r="G31" s="23"/>
      <c r="H31" s="23"/>
      <c r="I31" s="23"/>
      <c r="J31" s="23"/>
      <c r="K31" s="23">
        <f t="shared" si="1"/>
        <v>414.9</v>
      </c>
      <c r="L31" s="12"/>
      <c r="M31" s="20"/>
    </row>
    <row r="32" spans="1:13" ht="26.25" hidden="1">
      <c r="A32" s="21" t="s">
        <v>34</v>
      </c>
      <c r="B32" s="22"/>
      <c r="C32" s="23">
        <f t="shared" si="0"/>
        <v>0</v>
      </c>
      <c r="D32" s="23"/>
      <c r="E32" s="23"/>
      <c r="F32" s="23"/>
      <c r="G32" s="23"/>
      <c r="H32" s="23"/>
      <c r="I32" s="23"/>
      <c r="J32" s="23"/>
      <c r="K32" s="23">
        <f t="shared" si="1"/>
        <v>0</v>
      </c>
      <c r="L32" s="12"/>
      <c r="M32" s="20"/>
    </row>
    <row r="33" spans="1:13" ht="51.75" customHeight="1">
      <c r="A33" s="21" t="s">
        <v>252</v>
      </c>
      <c r="B33" s="37" t="s">
        <v>202</v>
      </c>
      <c r="C33" s="23">
        <f t="shared" si="0"/>
        <v>33055</v>
      </c>
      <c r="D33" s="40">
        <v>10243.5</v>
      </c>
      <c r="E33" s="23">
        <v>4091.9</v>
      </c>
      <c r="F33" s="23">
        <f>18416.9+418.2-115.5</f>
        <v>18719.600000000002</v>
      </c>
      <c r="G33" s="23"/>
      <c r="H33" s="23">
        <f>1618.6+92.3+3489.1</f>
        <v>5200</v>
      </c>
      <c r="I33" s="23"/>
      <c r="J33" s="23"/>
      <c r="K33" s="23">
        <f t="shared" si="1"/>
        <v>38255</v>
      </c>
      <c r="L33" s="12"/>
      <c r="M33" s="20"/>
    </row>
    <row r="34" spans="1:13" ht="42.75" customHeight="1">
      <c r="A34" s="21" t="s">
        <v>99</v>
      </c>
      <c r="B34" s="37" t="s">
        <v>253</v>
      </c>
      <c r="C34" s="23">
        <f t="shared" si="0"/>
        <v>1893.6</v>
      </c>
      <c r="D34" s="23">
        <v>206</v>
      </c>
      <c r="E34" s="23">
        <v>34.3</v>
      </c>
      <c r="F34" s="23">
        <f>843.3-20+130+700</f>
        <v>1653.3</v>
      </c>
      <c r="G34" s="23"/>
      <c r="H34" s="23"/>
      <c r="I34" s="23"/>
      <c r="J34" s="23"/>
      <c r="K34" s="23">
        <f t="shared" si="1"/>
        <v>1893.6</v>
      </c>
      <c r="L34" s="12"/>
      <c r="M34" s="20"/>
    </row>
    <row r="35" spans="1:13" ht="42" customHeight="1">
      <c r="A35" s="21" t="s">
        <v>100</v>
      </c>
      <c r="B35" s="22" t="s">
        <v>254</v>
      </c>
      <c r="C35" s="23">
        <f t="shared" si="0"/>
        <v>207.39999999999998</v>
      </c>
      <c r="D35" s="23">
        <f>103.8+7</f>
        <v>110.8</v>
      </c>
      <c r="E35" s="23">
        <v>11</v>
      </c>
      <c r="F35" s="23">
        <f>92.6-7</f>
        <v>85.6</v>
      </c>
      <c r="G35" s="23"/>
      <c r="H35" s="23"/>
      <c r="I35" s="23"/>
      <c r="J35" s="23"/>
      <c r="K35" s="23">
        <f t="shared" si="1"/>
        <v>207.39999999999998</v>
      </c>
      <c r="L35" s="12"/>
      <c r="M35" s="20"/>
    </row>
    <row r="36" spans="1:13" ht="39">
      <c r="A36" s="21" t="s">
        <v>36</v>
      </c>
      <c r="B36" s="22" t="s">
        <v>37</v>
      </c>
      <c r="C36" s="23">
        <f t="shared" si="0"/>
        <v>56</v>
      </c>
      <c r="D36" s="23"/>
      <c r="E36" s="23"/>
      <c r="F36" s="23">
        <v>56</v>
      </c>
      <c r="G36" s="23"/>
      <c r="H36" s="23"/>
      <c r="I36" s="23"/>
      <c r="J36" s="23"/>
      <c r="K36" s="23">
        <f t="shared" si="1"/>
        <v>56</v>
      </c>
      <c r="L36" s="12"/>
      <c r="M36" s="20"/>
    </row>
    <row r="37" spans="1:13" ht="26.25" hidden="1">
      <c r="A37" s="21" t="s">
        <v>38</v>
      </c>
      <c r="B37" s="22"/>
      <c r="C37" s="23">
        <f t="shared" si="0"/>
        <v>0</v>
      </c>
      <c r="D37" s="23"/>
      <c r="E37" s="23"/>
      <c r="F37" s="23"/>
      <c r="G37" s="23"/>
      <c r="H37" s="23"/>
      <c r="I37" s="23"/>
      <c r="J37" s="23"/>
      <c r="K37" s="23">
        <f t="shared" si="1"/>
        <v>0</v>
      </c>
      <c r="L37" s="12"/>
      <c r="M37" s="20"/>
    </row>
    <row r="38" spans="1:13" ht="27" customHeight="1">
      <c r="A38" s="21" t="s">
        <v>39</v>
      </c>
      <c r="B38" s="37" t="s">
        <v>255</v>
      </c>
      <c r="C38" s="23">
        <f t="shared" si="0"/>
        <v>1531.6</v>
      </c>
      <c r="D38" s="23">
        <v>529.9</v>
      </c>
      <c r="E38" s="23">
        <v>52.1</v>
      </c>
      <c r="F38" s="23">
        <v>949.6</v>
      </c>
      <c r="G38" s="23"/>
      <c r="H38" s="23">
        <v>403.4</v>
      </c>
      <c r="I38" s="23"/>
      <c r="J38" s="23"/>
      <c r="K38" s="23">
        <f t="shared" si="1"/>
        <v>1935</v>
      </c>
      <c r="L38" s="12"/>
      <c r="M38" s="20"/>
    </row>
    <row r="39" spans="1:13" ht="24.75" customHeight="1">
      <c r="A39" s="21" t="s">
        <v>204</v>
      </c>
      <c r="B39" s="37" t="s">
        <v>205</v>
      </c>
      <c r="C39" s="23">
        <f t="shared" si="0"/>
        <v>1400</v>
      </c>
      <c r="D39" s="23"/>
      <c r="E39" s="23"/>
      <c r="F39" s="23">
        <v>1400</v>
      </c>
      <c r="G39" s="23"/>
      <c r="H39" s="23"/>
      <c r="I39" s="23"/>
      <c r="J39" s="23"/>
      <c r="K39" s="23">
        <f t="shared" si="1"/>
        <v>1400</v>
      </c>
      <c r="L39" s="12"/>
      <c r="M39" s="20"/>
    </row>
    <row r="40" spans="1:13" ht="15.75" customHeight="1">
      <c r="A40" s="21" t="s">
        <v>206</v>
      </c>
      <c r="B40" s="37" t="s">
        <v>207</v>
      </c>
      <c r="C40" s="23">
        <f t="shared" si="0"/>
        <v>4651.5</v>
      </c>
      <c r="D40" s="23">
        <v>1369.7</v>
      </c>
      <c r="E40" s="23">
        <v>409.2</v>
      </c>
      <c r="F40" s="23">
        <v>2872.6</v>
      </c>
      <c r="G40" s="23"/>
      <c r="H40" s="23"/>
      <c r="I40" s="23"/>
      <c r="J40" s="23"/>
      <c r="K40" s="23">
        <f t="shared" si="1"/>
        <v>4651.5</v>
      </c>
      <c r="L40" s="12"/>
      <c r="M40" s="20"/>
    </row>
    <row r="41" spans="1:12" s="20" customFormat="1" ht="24" customHeight="1">
      <c r="A41" s="29">
        <v>100000</v>
      </c>
      <c r="B41" s="30" t="s">
        <v>123</v>
      </c>
      <c r="C41" s="2">
        <f>D41+E41+F41+G41</f>
        <v>11770</v>
      </c>
      <c r="D41" s="2"/>
      <c r="E41" s="2"/>
      <c r="F41" s="2">
        <f>6000+F44</f>
        <v>7000</v>
      </c>
      <c r="G41" s="2">
        <v>4770</v>
      </c>
      <c r="H41" s="2"/>
      <c r="I41" s="2"/>
      <c r="J41" s="2"/>
      <c r="K41" s="2">
        <f t="shared" si="1"/>
        <v>11770</v>
      </c>
      <c r="L41" s="19"/>
    </row>
    <row r="42" spans="1:12" s="20" customFormat="1" ht="27" customHeight="1" hidden="1">
      <c r="A42" s="31">
        <v>100101</v>
      </c>
      <c r="B42" s="32" t="s">
        <v>41</v>
      </c>
      <c r="C42" s="2">
        <f t="shared" si="0"/>
        <v>0</v>
      </c>
      <c r="D42" s="2"/>
      <c r="E42" s="2"/>
      <c r="F42" s="2"/>
      <c r="G42" s="2"/>
      <c r="H42" s="2"/>
      <c r="I42" s="2"/>
      <c r="J42" s="2"/>
      <c r="K42" s="23">
        <f t="shared" si="1"/>
        <v>0</v>
      </c>
      <c r="L42" s="19"/>
    </row>
    <row r="43" spans="1:13" ht="25.5" customHeight="1" hidden="1">
      <c r="A43" s="31">
        <v>100202</v>
      </c>
      <c r="B43" s="22" t="s">
        <v>42</v>
      </c>
      <c r="C43" s="2">
        <f t="shared" si="0"/>
        <v>0</v>
      </c>
      <c r="D43" s="2"/>
      <c r="E43" s="2"/>
      <c r="F43" s="2"/>
      <c r="G43" s="2"/>
      <c r="H43" s="2"/>
      <c r="I43" s="2"/>
      <c r="J43" s="2"/>
      <c r="K43" s="23">
        <f t="shared" si="1"/>
        <v>0</v>
      </c>
      <c r="L43" s="12"/>
      <c r="M43" s="20"/>
    </row>
    <row r="44" spans="1:13" ht="12.75">
      <c r="A44" s="31">
        <v>100206</v>
      </c>
      <c r="B44" s="33" t="s">
        <v>116</v>
      </c>
      <c r="C44" s="2">
        <f t="shared" si="0"/>
        <v>1000</v>
      </c>
      <c r="D44" s="34"/>
      <c r="E44" s="34"/>
      <c r="F44" s="34">
        <v>1000</v>
      </c>
      <c r="G44" s="34"/>
      <c r="H44" s="34"/>
      <c r="I44" s="23"/>
      <c r="J44" s="23"/>
      <c r="K44" s="23">
        <f t="shared" si="1"/>
        <v>1000</v>
      </c>
      <c r="M44" s="20"/>
    </row>
    <row r="45" spans="1:13" ht="12.75">
      <c r="A45" s="1"/>
      <c r="B45" s="33" t="s">
        <v>94</v>
      </c>
      <c r="C45" s="2">
        <f t="shared" si="0"/>
        <v>1000</v>
      </c>
      <c r="D45" s="34"/>
      <c r="E45" s="34"/>
      <c r="F45" s="34">
        <v>1000</v>
      </c>
      <c r="G45" s="34"/>
      <c r="H45" s="34"/>
      <c r="I45" s="23"/>
      <c r="J45" s="23"/>
      <c r="K45" s="23">
        <f t="shared" si="1"/>
        <v>1000</v>
      </c>
      <c r="M45" s="20"/>
    </row>
    <row r="46" spans="1:11" s="20" customFormat="1" ht="12.75" hidden="1">
      <c r="A46" s="31">
        <v>100203</v>
      </c>
      <c r="B46" s="22" t="s">
        <v>43</v>
      </c>
      <c r="C46" s="2">
        <f t="shared" si="0"/>
        <v>0</v>
      </c>
      <c r="D46" s="2"/>
      <c r="E46" s="2"/>
      <c r="F46" s="2"/>
      <c r="G46" s="2"/>
      <c r="H46" s="2"/>
      <c r="I46" s="2"/>
      <c r="J46" s="2"/>
      <c r="K46" s="23">
        <f t="shared" si="1"/>
        <v>0</v>
      </c>
    </row>
    <row r="47" spans="1:12" s="20" customFormat="1" ht="12.75">
      <c r="A47" s="35">
        <v>110000</v>
      </c>
      <c r="B47" s="25" t="s">
        <v>124</v>
      </c>
      <c r="C47" s="2">
        <f aca="true" t="shared" si="5" ref="C47:C55">D47+E47+F47+G47</f>
        <v>20710.3</v>
      </c>
      <c r="D47" s="2">
        <f>SUM(D48:D50)</f>
        <v>1283.2</v>
      </c>
      <c r="E47" s="2">
        <f>SUM(E48:E50)</f>
        <v>345.1</v>
      </c>
      <c r="F47" s="2">
        <f>SUM(F48:F50)</f>
        <v>17227</v>
      </c>
      <c r="G47" s="2">
        <f>G48+G49+G50</f>
        <v>1855</v>
      </c>
      <c r="H47" s="2">
        <f>SUM(H48:H50)</f>
        <v>465</v>
      </c>
      <c r="I47" s="2"/>
      <c r="J47" s="2"/>
      <c r="K47" s="2">
        <f t="shared" si="1"/>
        <v>21175.3</v>
      </c>
      <c r="L47" s="19"/>
    </row>
    <row r="48" spans="1:13" ht="12.75">
      <c r="A48" s="31">
        <v>110100</v>
      </c>
      <c r="B48" s="22" t="s">
        <v>44</v>
      </c>
      <c r="C48" s="23">
        <f t="shared" si="5"/>
        <v>15242</v>
      </c>
      <c r="D48" s="23"/>
      <c r="E48" s="23"/>
      <c r="F48" s="23">
        <f>10387+3000</f>
        <v>13387</v>
      </c>
      <c r="G48" s="23">
        <f>1505+350</f>
        <v>1855</v>
      </c>
      <c r="H48" s="23"/>
      <c r="I48" s="23"/>
      <c r="J48" s="23"/>
      <c r="K48" s="23">
        <f t="shared" si="1"/>
        <v>15242</v>
      </c>
      <c r="L48" s="12"/>
      <c r="M48" s="20"/>
    </row>
    <row r="49" spans="1:13" ht="37.5" customHeight="1">
      <c r="A49" s="36" t="s">
        <v>45</v>
      </c>
      <c r="B49" s="37" t="s">
        <v>101</v>
      </c>
      <c r="C49" s="23">
        <f t="shared" si="5"/>
        <v>5268.300000000001</v>
      </c>
      <c r="D49" s="23">
        <v>1283.2</v>
      </c>
      <c r="E49" s="23">
        <f>311.6+33.5</f>
        <v>345.1</v>
      </c>
      <c r="F49" s="23">
        <f>3094.6+1821+40-33.5-1382.1+100</f>
        <v>3640.0000000000005</v>
      </c>
      <c r="G49" s="23"/>
      <c r="H49" s="23">
        <v>465</v>
      </c>
      <c r="I49" s="23"/>
      <c r="J49" s="23"/>
      <c r="K49" s="23">
        <f t="shared" si="1"/>
        <v>5733.300000000001</v>
      </c>
      <c r="L49" s="12"/>
      <c r="M49" s="20"/>
    </row>
    <row r="50" spans="1:13" ht="12.75">
      <c r="A50" s="31">
        <v>110300</v>
      </c>
      <c r="B50" s="22" t="s">
        <v>46</v>
      </c>
      <c r="C50" s="23">
        <f t="shared" si="5"/>
        <v>200</v>
      </c>
      <c r="D50" s="23"/>
      <c r="E50" s="23"/>
      <c r="F50" s="23">
        <v>200</v>
      </c>
      <c r="G50" s="23"/>
      <c r="H50" s="23"/>
      <c r="I50" s="23"/>
      <c r="J50" s="23"/>
      <c r="K50" s="23">
        <f t="shared" si="1"/>
        <v>200</v>
      </c>
      <c r="L50" s="12"/>
      <c r="M50" s="20"/>
    </row>
    <row r="51" spans="1:12" s="20" customFormat="1" ht="18.75" customHeight="1">
      <c r="A51" s="38">
        <v>120000</v>
      </c>
      <c r="B51" s="39" t="s">
        <v>125</v>
      </c>
      <c r="C51" s="39">
        <f t="shared" si="5"/>
        <v>5582.4</v>
      </c>
      <c r="D51" s="39"/>
      <c r="E51" s="39"/>
      <c r="F51" s="39">
        <f>F53+F55+F52</f>
        <v>4334.3</v>
      </c>
      <c r="G51" s="39">
        <f>G53+G55+G52</f>
        <v>1248.1</v>
      </c>
      <c r="H51" s="39"/>
      <c r="I51" s="39"/>
      <c r="J51" s="39"/>
      <c r="K51" s="39">
        <f t="shared" si="1"/>
        <v>5582.4</v>
      </c>
      <c r="L51" s="19"/>
    </row>
    <row r="52" spans="1:13" ht="16.5" customHeight="1">
      <c r="A52" s="46">
        <v>120100</v>
      </c>
      <c r="B52" s="72" t="s">
        <v>210</v>
      </c>
      <c r="C52" s="72">
        <f t="shared" si="5"/>
        <v>100</v>
      </c>
      <c r="D52" s="72"/>
      <c r="E52" s="72"/>
      <c r="F52" s="72">
        <f>2000-1500-400</f>
        <v>100</v>
      </c>
      <c r="G52" s="72"/>
      <c r="H52" s="72"/>
      <c r="I52" s="72"/>
      <c r="J52" s="72"/>
      <c r="K52" s="72">
        <f t="shared" si="1"/>
        <v>100</v>
      </c>
      <c r="L52" s="12"/>
      <c r="M52" s="20"/>
    </row>
    <row r="53" spans="1:13" ht="12.75" customHeight="1">
      <c r="A53" s="31">
        <v>120200</v>
      </c>
      <c r="B53" s="22" t="s">
        <v>47</v>
      </c>
      <c r="C53" s="72">
        <f t="shared" si="5"/>
        <v>5148.1</v>
      </c>
      <c r="D53" s="23"/>
      <c r="E53" s="23"/>
      <c r="F53" s="23">
        <f>4200-300</f>
        <v>3900</v>
      </c>
      <c r="G53" s="23">
        <v>1248.1</v>
      </c>
      <c r="H53" s="23"/>
      <c r="I53" s="23"/>
      <c r="J53" s="23"/>
      <c r="K53" s="23">
        <f t="shared" si="1"/>
        <v>5148.1</v>
      </c>
      <c r="L53" s="12"/>
      <c r="M53" s="20"/>
    </row>
    <row r="54" spans="1:13" ht="26.25" customHeight="1" hidden="1">
      <c r="A54" s="31">
        <v>120201</v>
      </c>
      <c r="B54" s="22" t="s">
        <v>95</v>
      </c>
      <c r="C54" s="39">
        <f t="shared" si="5"/>
        <v>0</v>
      </c>
      <c r="D54" s="23"/>
      <c r="E54" s="23"/>
      <c r="F54" s="23"/>
      <c r="G54" s="23"/>
      <c r="H54" s="23"/>
      <c r="I54" s="23"/>
      <c r="J54" s="23"/>
      <c r="K54" s="23">
        <f t="shared" si="1"/>
        <v>0</v>
      </c>
      <c r="L54" s="12"/>
      <c r="M54" s="20"/>
    </row>
    <row r="55" spans="1:13" ht="12.75">
      <c r="A55" s="31">
        <v>120300</v>
      </c>
      <c r="B55" s="22" t="s">
        <v>48</v>
      </c>
      <c r="C55" s="72">
        <f t="shared" si="5"/>
        <v>334.3</v>
      </c>
      <c r="D55" s="23"/>
      <c r="E55" s="23"/>
      <c r="F55" s="23">
        <f>334.3</f>
        <v>334.3</v>
      </c>
      <c r="G55" s="23"/>
      <c r="H55" s="23"/>
      <c r="I55" s="23"/>
      <c r="J55" s="23"/>
      <c r="K55" s="23">
        <f t="shared" si="1"/>
        <v>334.3</v>
      </c>
      <c r="L55" s="12"/>
      <c r="M55" s="20"/>
    </row>
    <row r="56" spans="1:13" ht="12.75" hidden="1">
      <c r="A56" s="31">
        <v>120301</v>
      </c>
      <c r="B56" s="22" t="s">
        <v>96</v>
      </c>
      <c r="C56" s="23">
        <f t="shared" si="0"/>
        <v>0</v>
      </c>
      <c r="D56" s="23"/>
      <c r="E56" s="23"/>
      <c r="F56" s="23"/>
      <c r="G56" s="23"/>
      <c r="H56" s="23"/>
      <c r="I56" s="23"/>
      <c r="J56" s="23"/>
      <c r="K56" s="23">
        <f t="shared" si="1"/>
        <v>0</v>
      </c>
      <c r="L56" s="12"/>
      <c r="M56" s="20"/>
    </row>
    <row r="57" spans="1:12" s="20" customFormat="1" ht="12.75">
      <c r="A57" s="35">
        <v>130000</v>
      </c>
      <c r="B57" s="25" t="s">
        <v>126</v>
      </c>
      <c r="C57" s="120">
        <f>D57+E57+F57+G57</f>
        <v>20856.100000000002</v>
      </c>
      <c r="D57" s="120">
        <v>1439.7</v>
      </c>
      <c r="E57" s="120">
        <v>27.5</v>
      </c>
      <c r="F57" s="120">
        <f>19267.9+60</f>
        <v>19327.9</v>
      </c>
      <c r="G57" s="120">
        <v>61</v>
      </c>
      <c r="H57" s="120"/>
      <c r="I57" s="120"/>
      <c r="J57" s="120"/>
      <c r="K57" s="120">
        <f t="shared" si="1"/>
        <v>20856.100000000002</v>
      </c>
      <c r="L57" s="19"/>
    </row>
    <row r="58" spans="1:12" s="20" customFormat="1" ht="12.75">
      <c r="A58" s="35">
        <v>150000</v>
      </c>
      <c r="B58" s="25" t="s">
        <v>49</v>
      </c>
      <c r="C58" s="2">
        <f t="shared" si="0"/>
        <v>0</v>
      </c>
      <c r="D58" s="2"/>
      <c r="E58" s="2"/>
      <c r="F58" s="2"/>
      <c r="G58" s="2"/>
      <c r="H58" s="4">
        <f>SUM(H59:H61)</f>
        <v>38478.5</v>
      </c>
      <c r="I58" s="4">
        <f>SUM(I59:I61)</f>
        <v>38478.5</v>
      </c>
      <c r="J58" s="2">
        <f>J59</f>
        <v>1490</v>
      </c>
      <c r="K58" s="2">
        <f t="shared" si="1"/>
        <v>38478.5</v>
      </c>
      <c r="L58" s="19"/>
    </row>
    <row r="59" spans="1:13" ht="12.75">
      <c r="A59" s="31">
        <v>150100</v>
      </c>
      <c r="B59" s="22" t="s">
        <v>49</v>
      </c>
      <c r="C59" s="23">
        <f t="shared" si="0"/>
        <v>0</v>
      </c>
      <c r="D59" s="23"/>
      <c r="E59" s="23"/>
      <c r="F59" s="23"/>
      <c r="G59" s="23"/>
      <c r="H59" s="40">
        <f>1490+7890+110+22506.3+1000</f>
        <v>32996.3</v>
      </c>
      <c r="I59" s="40">
        <f>1490+7890+110+22506.3+1000</f>
        <v>32996.3</v>
      </c>
      <c r="J59" s="23">
        <v>1490</v>
      </c>
      <c r="K59" s="23">
        <f t="shared" si="1"/>
        <v>32996.3</v>
      </c>
      <c r="L59" s="12"/>
      <c r="M59" s="20"/>
    </row>
    <row r="60" spans="1:13" ht="26.25">
      <c r="A60" s="31">
        <v>150107</v>
      </c>
      <c r="B60" s="22" t="s">
        <v>50</v>
      </c>
      <c r="C60" s="23">
        <f t="shared" si="0"/>
        <v>0</v>
      </c>
      <c r="D60" s="23"/>
      <c r="E60" s="23"/>
      <c r="F60" s="23"/>
      <c r="G60" s="23"/>
      <c r="H60" s="23">
        <v>5482.2</v>
      </c>
      <c r="I60" s="23">
        <v>5482.2</v>
      </c>
      <c r="J60" s="23"/>
      <c r="K60" s="23">
        <f t="shared" si="1"/>
        <v>5482.2</v>
      </c>
      <c r="L60" s="12"/>
      <c r="M60" s="20"/>
    </row>
    <row r="61" spans="1:13" ht="12.75">
      <c r="A61" s="31">
        <v>150200</v>
      </c>
      <c r="B61" s="22" t="s">
        <v>108</v>
      </c>
      <c r="C61" s="23">
        <f t="shared" si="0"/>
        <v>0</v>
      </c>
      <c r="D61" s="23"/>
      <c r="E61" s="23"/>
      <c r="F61" s="23"/>
      <c r="G61" s="23"/>
      <c r="H61" s="23"/>
      <c r="I61" s="23"/>
      <c r="J61" s="23"/>
      <c r="K61" s="23">
        <f t="shared" si="1"/>
        <v>0</v>
      </c>
      <c r="L61" s="12"/>
      <c r="M61" s="20"/>
    </row>
    <row r="62" spans="1:12" s="20" customFormat="1" ht="52.5" customHeight="1">
      <c r="A62" s="35">
        <v>170000</v>
      </c>
      <c r="B62" s="53" t="s">
        <v>127</v>
      </c>
      <c r="C62" s="2">
        <f t="shared" si="0"/>
        <v>0</v>
      </c>
      <c r="D62" s="2"/>
      <c r="E62" s="2"/>
      <c r="F62" s="2"/>
      <c r="G62" s="2"/>
      <c r="H62" s="4">
        <f>H63+H65+H67</f>
        <v>27817.1</v>
      </c>
      <c r="I62" s="4"/>
      <c r="J62" s="4"/>
      <c r="K62" s="2">
        <f t="shared" si="1"/>
        <v>27817.1</v>
      </c>
      <c r="L62" s="19"/>
    </row>
    <row r="63" spans="1:13" ht="12.75" hidden="1">
      <c r="A63" s="31">
        <v>170100</v>
      </c>
      <c r="B63" s="22" t="s">
        <v>51</v>
      </c>
      <c r="C63" s="2">
        <f t="shared" si="0"/>
        <v>0</v>
      </c>
      <c r="D63" s="2"/>
      <c r="E63" s="2"/>
      <c r="F63" s="2"/>
      <c r="G63" s="2"/>
      <c r="H63" s="2"/>
      <c r="I63" s="2"/>
      <c r="J63" s="2"/>
      <c r="K63" s="23">
        <f t="shared" si="1"/>
        <v>0</v>
      </c>
      <c r="L63" s="12"/>
      <c r="M63" s="20"/>
    </row>
    <row r="64" spans="1:13" ht="15" customHeight="1" hidden="1">
      <c r="A64" s="28">
        <v>170102</v>
      </c>
      <c r="B64" s="22" t="s">
        <v>52</v>
      </c>
      <c r="C64" s="2">
        <f t="shared" si="0"/>
        <v>0</v>
      </c>
      <c r="D64" s="2"/>
      <c r="E64" s="2"/>
      <c r="F64" s="2"/>
      <c r="G64" s="2"/>
      <c r="H64" s="2"/>
      <c r="I64" s="2"/>
      <c r="J64" s="2"/>
      <c r="K64" s="23">
        <f t="shared" si="1"/>
        <v>0</v>
      </c>
      <c r="L64" s="12"/>
      <c r="M64" s="20"/>
    </row>
    <row r="65" spans="1:13" ht="12.75" hidden="1">
      <c r="A65" s="31">
        <v>170600</v>
      </c>
      <c r="B65" s="22" t="s">
        <v>53</v>
      </c>
      <c r="C65" s="2">
        <f t="shared" si="0"/>
        <v>0</v>
      </c>
      <c r="D65" s="2"/>
      <c r="E65" s="2"/>
      <c r="F65" s="2"/>
      <c r="G65" s="2"/>
      <c r="H65" s="2"/>
      <c r="I65" s="2"/>
      <c r="J65" s="2"/>
      <c r="K65" s="23">
        <f t="shared" si="1"/>
        <v>0</v>
      </c>
      <c r="L65" s="12"/>
      <c r="M65" s="20"/>
    </row>
    <row r="66" spans="1:13" ht="12.75" hidden="1">
      <c r="A66" s="31">
        <v>170602</v>
      </c>
      <c r="B66" s="22" t="s">
        <v>54</v>
      </c>
      <c r="C66" s="2">
        <f t="shared" si="0"/>
        <v>0</v>
      </c>
      <c r="D66" s="2"/>
      <c r="E66" s="2"/>
      <c r="F66" s="2"/>
      <c r="G66" s="2"/>
      <c r="H66" s="2"/>
      <c r="I66" s="2"/>
      <c r="J66" s="2"/>
      <c r="K66" s="23">
        <f t="shared" si="1"/>
        <v>0</v>
      </c>
      <c r="L66" s="12"/>
      <c r="M66" s="20"/>
    </row>
    <row r="67" spans="1:13" ht="12.75">
      <c r="A67" s="31">
        <v>170700</v>
      </c>
      <c r="B67" s="22" t="s">
        <v>55</v>
      </c>
      <c r="C67" s="23">
        <f t="shared" si="0"/>
        <v>0</v>
      </c>
      <c r="D67" s="23"/>
      <c r="E67" s="23"/>
      <c r="F67" s="23"/>
      <c r="G67" s="23"/>
      <c r="H67" s="40">
        <f>H68</f>
        <v>27817.1</v>
      </c>
      <c r="I67" s="40"/>
      <c r="J67" s="40"/>
      <c r="K67" s="23">
        <f t="shared" si="1"/>
        <v>27817.1</v>
      </c>
      <c r="L67" s="12"/>
      <c r="M67" s="20"/>
    </row>
    <row r="68" spans="1:13" ht="78.75" customHeight="1">
      <c r="A68" s="31">
        <v>170703</v>
      </c>
      <c r="B68" s="22" t="s">
        <v>56</v>
      </c>
      <c r="C68" s="23">
        <f t="shared" si="0"/>
        <v>0</v>
      </c>
      <c r="D68" s="23"/>
      <c r="E68" s="23"/>
      <c r="F68" s="23"/>
      <c r="G68" s="23"/>
      <c r="H68" s="40">
        <f>26567.1+1250</f>
        <v>27817.1</v>
      </c>
      <c r="I68" s="40"/>
      <c r="J68" s="40"/>
      <c r="K68" s="23">
        <f t="shared" si="1"/>
        <v>27817.1</v>
      </c>
      <c r="L68" s="12"/>
      <c r="M68" s="20"/>
    </row>
    <row r="69" spans="1:13" ht="40.5" customHeight="1">
      <c r="A69" s="35">
        <v>180109</v>
      </c>
      <c r="B69" s="25" t="s">
        <v>118</v>
      </c>
      <c r="C69" s="2">
        <f t="shared" si="0"/>
        <v>4960</v>
      </c>
      <c r="D69" s="23"/>
      <c r="E69" s="23"/>
      <c r="F69" s="2">
        <v>4960</v>
      </c>
      <c r="G69" s="23"/>
      <c r="H69" s="4"/>
      <c r="I69" s="40"/>
      <c r="J69" s="40"/>
      <c r="K69" s="2">
        <f t="shared" si="1"/>
        <v>4960</v>
      </c>
      <c r="L69" s="12"/>
      <c r="M69" s="20"/>
    </row>
    <row r="70" spans="1:13" ht="25.5" customHeight="1">
      <c r="A70" s="35">
        <v>180404</v>
      </c>
      <c r="B70" s="25" t="s">
        <v>246</v>
      </c>
      <c r="C70" s="2">
        <f t="shared" si="0"/>
        <v>200</v>
      </c>
      <c r="D70" s="23"/>
      <c r="E70" s="23"/>
      <c r="F70" s="2">
        <v>200</v>
      </c>
      <c r="G70" s="23"/>
      <c r="H70" s="4"/>
      <c r="I70" s="40"/>
      <c r="J70" s="40"/>
      <c r="K70" s="2">
        <f t="shared" si="1"/>
        <v>200</v>
      </c>
      <c r="L70" s="12"/>
      <c r="M70" s="20"/>
    </row>
    <row r="71" spans="1:12" s="20" customFormat="1" ht="39" customHeight="1">
      <c r="A71" s="35">
        <v>180410</v>
      </c>
      <c r="B71" s="25" t="s">
        <v>189</v>
      </c>
      <c r="C71" s="2">
        <f t="shared" si="0"/>
        <v>14.5</v>
      </c>
      <c r="D71" s="2"/>
      <c r="E71" s="2"/>
      <c r="F71" s="2">
        <v>14.5</v>
      </c>
      <c r="G71" s="2"/>
      <c r="H71" s="2"/>
      <c r="I71" s="2"/>
      <c r="J71" s="2"/>
      <c r="K71" s="2">
        <f t="shared" si="1"/>
        <v>14.5</v>
      </c>
      <c r="L71" s="19"/>
    </row>
    <row r="72" spans="1:12" s="20" customFormat="1" ht="38.25" customHeight="1">
      <c r="A72" s="35">
        <v>210000</v>
      </c>
      <c r="B72" s="25" t="s">
        <v>128</v>
      </c>
      <c r="C72" s="2">
        <f>D72+E72+F72+G72</f>
        <v>2358</v>
      </c>
      <c r="D72" s="2"/>
      <c r="E72" s="2"/>
      <c r="F72" s="2">
        <v>1533</v>
      </c>
      <c r="G72" s="2">
        <v>825</v>
      </c>
      <c r="H72" s="2"/>
      <c r="I72" s="2"/>
      <c r="J72" s="2"/>
      <c r="K72" s="2">
        <f t="shared" si="1"/>
        <v>2358</v>
      </c>
      <c r="L72" s="19"/>
    </row>
    <row r="73" spans="1:12" s="20" customFormat="1" ht="13.5" customHeight="1">
      <c r="A73" s="35">
        <v>230000</v>
      </c>
      <c r="B73" s="25" t="s">
        <v>129</v>
      </c>
      <c r="C73" s="2">
        <f t="shared" si="0"/>
        <v>0.1</v>
      </c>
      <c r="D73" s="2"/>
      <c r="E73" s="2"/>
      <c r="F73" s="2">
        <v>0.1</v>
      </c>
      <c r="G73" s="2"/>
      <c r="H73" s="2"/>
      <c r="I73" s="2"/>
      <c r="J73" s="2"/>
      <c r="K73" s="2">
        <f t="shared" si="1"/>
        <v>0.1</v>
      </c>
      <c r="L73" s="19"/>
    </row>
    <row r="74" spans="1:12" s="20" customFormat="1" ht="13.5" customHeight="1">
      <c r="A74" s="41">
        <v>240000</v>
      </c>
      <c r="B74" s="25" t="s">
        <v>173</v>
      </c>
      <c r="C74" s="2">
        <f t="shared" si="0"/>
        <v>0</v>
      </c>
      <c r="D74" s="2">
        <f>D76+D80</f>
        <v>0</v>
      </c>
      <c r="E74" s="2">
        <f>E76+E80</f>
        <v>0</v>
      </c>
      <c r="F74" s="2">
        <f>F76+F80</f>
        <v>0</v>
      </c>
      <c r="G74" s="2"/>
      <c r="H74" s="4">
        <f>H76+H80+H75</f>
        <v>26274.6</v>
      </c>
      <c r="I74" s="2"/>
      <c r="J74" s="2"/>
      <c r="K74" s="2">
        <f t="shared" si="1"/>
        <v>26274.6</v>
      </c>
      <c r="L74" s="19"/>
    </row>
    <row r="75" spans="1:12" s="20" customFormat="1" ht="26.25" customHeight="1">
      <c r="A75" s="31">
        <v>240600</v>
      </c>
      <c r="B75" s="22" t="s">
        <v>194</v>
      </c>
      <c r="C75" s="23">
        <f t="shared" si="0"/>
        <v>0</v>
      </c>
      <c r="D75" s="2"/>
      <c r="E75" s="2"/>
      <c r="F75" s="2"/>
      <c r="G75" s="2"/>
      <c r="H75" s="40">
        <v>23470.6</v>
      </c>
      <c r="I75" s="2"/>
      <c r="J75" s="2"/>
      <c r="K75" s="23">
        <f>C75+H75</f>
        <v>23470.6</v>
      </c>
      <c r="L75" s="19"/>
    </row>
    <row r="76" spans="1:13" ht="39" hidden="1">
      <c r="A76" s="31">
        <v>240601</v>
      </c>
      <c r="B76" s="22" t="s">
        <v>130</v>
      </c>
      <c r="C76" s="23">
        <f t="shared" si="0"/>
        <v>0</v>
      </c>
      <c r="D76" s="23"/>
      <c r="E76" s="23"/>
      <c r="F76" s="23"/>
      <c r="G76" s="23"/>
      <c r="H76" s="40"/>
      <c r="I76" s="23"/>
      <c r="J76" s="23"/>
      <c r="K76" s="23">
        <f t="shared" si="1"/>
        <v>0</v>
      </c>
      <c r="L76" s="12"/>
      <c r="M76" s="20"/>
    </row>
    <row r="77" spans="1:13" ht="12.75" hidden="1">
      <c r="A77" s="31">
        <v>240602</v>
      </c>
      <c r="B77" s="22" t="s">
        <v>131</v>
      </c>
      <c r="C77" s="23">
        <f t="shared" si="0"/>
        <v>0</v>
      </c>
      <c r="D77" s="23"/>
      <c r="E77" s="23"/>
      <c r="F77" s="23"/>
      <c r="G77" s="23"/>
      <c r="H77" s="23"/>
      <c r="I77" s="23"/>
      <c r="J77" s="23"/>
      <c r="K77" s="23">
        <f t="shared" si="1"/>
        <v>0</v>
      </c>
      <c r="L77" s="12"/>
      <c r="M77" s="20"/>
    </row>
    <row r="78" spans="1:13" ht="39" hidden="1">
      <c r="A78" s="31">
        <v>240603</v>
      </c>
      <c r="B78" s="22" t="s">
        <v>132</v>
      </c>
      <c r="C78" s="23">
        <f t="shared" si="0"/>
        <v>0</v>
      </c>
      <c r="D78" s="23"/>
      <c r="E78" s="23"/>
      <c r="F78" s="23"/>
      <c r="G78" s="23"/>
      <c r="H78" s="23"/>
      <c r="I78" s="23"/>
      <c r="J78" s="23"/>
      <c r="K78" s="23">
        <f t="shared" si="1"/>
        <v>0</v>
      </c>
      <c r="L78" s="12"/>
      <c r="M78" s="20"/>
    </row>
    <row r="79" spans="1:13" ht="26.25" hidden="1">
      <c r="A79" s="31">
        <v>240604</v>
      </c>
      <c r="B79" s="22" t="s">
        <v>133</v>
      </c>
      <c r="C79" s="23">
        <f aca="true" t="shared" si="6" ref="C79:C91">D79+E79+F79</f>
        <v>0</v>
      </c>
      <c r="D79" s="23"/>
      <c r="E79" s="23"/>
      <c r="F79" s="23"/>
      <c r="G79" s="23"/>
      <c r="H79" s="23"/>
      <c r="I79" s="23"/>
      <c r="J79" s="23"/>
      <c r="K79" s="23">
        <f aca="true" t="shared" si="7" ref="K79:K93">C79+H79</f>
        <v>0</v>
      </c>
      <c r="L79" s="12"/>
      <c r="M79" s="20"/>
    </row>
    <row r="80" spans="1:13" ht="52.5">
      <c r="A80" s="31">
        <v>240900</v>
      </c>
      <c r="B80" s="22" t="s">
        <v>57</v>
      </c>
      <c r="C80" s="23">
        <f>D80+E80+F80</f>
        <v>0</v>
      </c>
      <c r="D80" s="23"/>
      <c r="E80" s="23"/>
      <c r="F80" s="23"/>
      <c r="G80" s="23"/>
      <c r="H80" s="23">
        <f>2061.1+742.9</f>
        <v>2804</v>
      </c>
      <c r="I80" s="23"/>
      <c r="J80" s="23"/>
      <c r="K80" s="23">
        <f>C80+H80</f>
        <v>2804</v>
      </c>
      <c r="L80" s="12"/>
      <c r="M80" s="20"/>
    </row>
    <row r="81" spans="1:12" s="20" customFormat="1" ht="26.25">
      <c r="A81" s="35">
        <v>250000</v>
      </c>
      <c r="B81" s="25" t="s">
        <v>58</v>
      </c>
      <c r="C81" s="2">
        <f t="shared" si="6"/>
        <v>1888</v>
      </c>
      <c r="D81" s="2">
        <f>SUM(D82:D84)</f>
        <v>0</v>
      </c>
      <c r="E81" s="2">
        <f>SUM(E82:E84)</f>
        <v>0</v>
      </c>
      <c r="F81" s="2">
        <f>SUM(F82:F86)</f>
        <v>1888</v>
      </c>
      <c r="G81" s="2"/>
      <c r="H81" s="2"/>
      <c r="I81" s="2"/>
      <c r="J81" s="2"/>
      <c r="K81" s="2">
        <f t="shared" si="7"/>
        <v>1888</v>
      </c>
      <c r="L81" s="19"/>
    </row>
    <row r="82" spans="1:13" ht="12.75">
      <c r="A82" s="31">
        <v>250100</v>
      </c>
      <c r="B82" s="22" t="s">
        <v>59</v>
      </c>
      <c r="C82" s="23">
        <f t="shared" si="6"/>
        <v>1500</v>
      </c>
      <c r="D82" s="23"/>
      <c r="E82" s="23"/>
      <c r="F82" s="23">
        <f>3500-2000</f>
        <v>1500</v>
      </c>
      <c r="G82" s="23"/>
      <c r="H82" s="23"/>
      <c r="I82" s="23"/>
      <c r="J82" s="23"/>
      <c r="K82" s="23">
        <f t="shared" si="7"/>
        <v>1500</v>
      </c>
      <c r="L82" s="12"/>
      <c r="M82" s="20"/>
    </row>
    <row r="83" spans="1:13" ht="26.25">
      <c r="A83" s="31">
        <v>250203</v>
      </c>
      <c r="B83" s="22" t="s">
        <v>195</v>
      </c>
      <c r="C83" s="23">
        <f t="shared" si="6"/>
        <v>163</v>
      </c>
      <c r="D83" s="23"/>
      <c r="E83" s="23"/>
      <c r="F83" s="23">
        <v>163</v>
      </c>
      <c r="G83" s="23"/>
      <c r="H83" s="23"/>
      <c r="I83" s="23"/>
      <c r="J83" s="23"/>
      <c r="K83" s="23">
        <f t="shared" si="7"/>
        <v>163</v>
      </c>
      <c r="L83" s="12"/>
      <c r="M83" s="20"/>
    </row>
    <row r="84" spans="1:13" ht="12.75" hidden="1">
      <c r="A84" s="31">
        <v>250404</v>
      </c>
      <c r="B84" s="22" t="s">
        <v>32</v>
      </c>
      <c r="C84" s="23">
        <f t="shared" si="6"/>
        <v>0</v>
      </c>
      <c r="D84" s="23"/>
      <c r="E84" s="23"/>
      <c r="F84" s="23"/>
      <c r="G84" s="23"/>
      <c r="H84" s="23"/>
      <c r="I84" s="23"/>
      <c r="J84" s="23"/>
      <c r="K84" s="23">
        <f t="shared" si="7"/>
        <v>0</v>
      </c>
      <c r="L84" s="12"/>
      <c r="M84" s="20"/>
    </row>
    <row r="85" spans="1:12" s="20" customFormat="1" ht="28.5" customHeight="1" hidden="1">
      <c r="A85" s="35"/>
      <c r="B85" s="3"/>
      <c r="C85" s="2"/>
      <c r="D85" s="2"/>
      <c r="E85" s="2"/>
      <c r="F85" s="4"/>
      <c r="G85" s="2"/>
      <c r="H85" s="2"/>
      <c r="I85" s="2"/>
      <c r="J85" s="2"/>
      <c r="K85" s="23">
        <f t="shared" si="7"/>
        <v>0</v>
      </c>
      <c r="L85" s="19"/>
    </row>
    <row r="86" spans="1:13" ht="12.75">
      <c r="A86" s="31">
        <v>250404</v>
      </c>
      <c r="B86" s="22" t="s">
        <v>211</v>
      </c>
      <c r="C86" s="23">
        <f t="shared" si="6"/>
        <v>225</v>
      </c>
      <c r="D86" s="23"/>
      <c r="E86" s="23"/>
      <c r="F86" s="23">
        <v>225</v>
      </c>
      <c r="G86" s="23"/>
      <c r="H86" s="23"/>
      <c r="I86" s="23"/>
      <c r="J86" s="23"/>
      <c r="K86" s="23">
        <f t="shared" si="7"/>
        <v>225</v>
      </c>
      <c r="L86" s="12"/>
      <c r="M86" s="20"/>
    </row>
    <row r="87" spans="1:13" s="20" customFormat="1" ht="12.75">
      <c r="A87" s="35"/>
      <c r="B87" s="25" t="s">
        <v>60</v>
      </c>
      <c r="C87" s="4">
        <f>D87+E87+F87+G87</f>
        <v>406469.60000000003</v>
      </c>
      <c r="D87" s="4">
        <f>D81+D74+D73+D72+D71+D70+D69+D62+D58+D57+D51+D47+D41+D27+D26+D25+D15+D13+D85</f>
        <v>120833.6</v>
      </c>
      <c r="E87" s="4">
        <f>E81+E74+E73+E72+E71+E70+E69+E62+E58+E57+E51+E47+E41+E27+E26+E25+E15+E13+E85</f>
        <v>30038.9</v>
      </c>
      <c r="F87" s="4">
        <f>F81+F74+F73+F72+F71+F70+F69+F62+F58+F57+F51+F47+F41+F27+F26+F25+F15+F13+F85</f>
        <v>226963.9</v>
      </c>
      <c r="G87" s="4">
        <f>G81+G74+G73+G72+G71+G62+G58+G57+G51+G47+G41+G27+G26+G25+G15+G13+G40+G85</f>
        <v>28633.200000000004</v>
      </c>
      <c r="H87" s="4">
        <f>H81+H74+H73+H72+H71+H62+H58+H57+H51+H47+H41+H27+H26+H25+H15+H13+H85</f>
        <v>110402.09999999999</v>
      </c>
      <c r="I87" s="4">
        <f>I81+I74+I73+I72+I71+I62+I58+I57+I51+I47+I41+I27+I26+I25+I15+I13+I40+I85</f>
        <v>39821</v>
      </c>
      <c r="J87" s="4">
        <f>J81+J74+J73+J72+J71+J62+J58+J57+J51+J47+J41+J27+J26+J25+J15+J13+J40+J85</f>
        <v>1490</v>
      </c>
      <c r="K87" s="4">
        <f t="shared" si="7"/>
        <v>516871.7</v>
      </c>
      <c r="L87" s="19"/>
      <c r="M87" s="91"/>
    </row>
    <row r="88" spans="1:12" s="20" customFormat="1" ht="28.5" customHeight="1">
      <c r="A88" s="35"/>
      <c r="B88" s="3" t="s">
        <v>112</v>
      </c>
      <c r="C88" s="2">
        <f>D88+E88+F88</f>
        <v>19577.60000000001</v>
      </c>
      <c r="D88" s="2"/>
      <c r="E88" s="2"/>
      <c r="F88" s="4">
        <f>380512.3-338534.6-9012.3-13387.8</f>
        <v>19577.60000000001</v>
      </c>
      <c r="G88" s="2"/>
      <c r="H88" s="2"/>
      <c r="I88" s="2"/>
      <c r="J88" s="2"/>
      <c r="K88" s="4">
        <f>C88+H88</f>
        <v>19577.60000000001</v>
      </c>
      <c r="L88" s="19"/>
    </row>
    <row r="89" spans="1:13" ht="39">
      <c r="A89" s="31">
        <v>250306</v>
      </c>
      <c r="B89" s="22" t="s">
        <v>134</v>
      </c>
      <c r="C89" s="23">
        <f t="shared" si="6"/>
        <v>14372.2</v>
      </c>
      <c r="D89" s="2"/>
      <c r="E89" s="2"/>
      <c r="F89" s="23">
        <f>7890+5482.2+1000</f>
        <v>14372.2</v>
      </c>
      <c r="G89" s="2"/>
      <c r="H89" s="2"/>
      <c r="I89" s="2"/>
      <c r="J89" s="2"/>
      <c r="K89" s="23">
        <f t="shared" si="7"/>
        <v>14372.2</v>
      </c>
      <c r="L89" s="12"/>
      <c r="M89" s="20"/>
    </row>
    <row r="90" spans="1:13" ht="52.5">
      <c r="A90" s="31">
        <v>250313</v>
      </c>
      <c r="B90" s="22" t="s">
        <v>245</v>
      </c>
      <c r="C90" s="23">
        <f t="shared" si="6"/>
        <v>13705.5</v>
      </c>
      <c r="D90" s="23"/>
      <c r="E90" s="23"/>
      <c r="F90" s="23">
        <v>13705.5</v>
      </c>
      <c r="G90" s="23"/>
      <c r="H90" s="23"/>
      <c r="I90" s="23"/>
      <c r="J90" s="23"/>
      <c r="K90" s="23">
        <f t="shared" si="7"/>
        <v>13705.5</v>
      </c>
      <c r="L90" s="12"/>
      <c r="M90" s="20"/>
    </row>
    <row r="91" spans="1:13" ht="26.25">
      <c r="A91" s="31">
        <v>250301</v>
      </c>
      <c r="B91" s="42" t="s">
        <v>135</v>
      </c>
      <c r="C91" s="23">
        <f t="shared" si="6"/>
        <v>62744.8</v>
      </c>
      <c r="D91" s="23"/>
      <c r="E91" s="23"/>
      <c r="F91" s="23">
        <v>62744.8</v>
      </c>
      <c r="G91" s="23"/>
      <c r="H91" s="23"/>
      <c r="I91" s="23"/>
      <c r="J91" s="23"/>
      <c r="K91" s="23">
        <f t="shared" si="7"/>
        <v>62744.8</v>
      </c>
      <c r="L91" s="12"/>
      <c r="M91" s="20"/>
    </row>
    <row r="92" spans="1:13" ht="39" hidden="1">
      <c r="A92" s="31">
        <v>250331</v>
      </c>
      <c r="B92" s="42" t="s">
        <v>102</v>
      </c>
      <c r="C92" s="23">
        <f>D92+E92+F92</f>
        <v>0</v>
      </c>
      <c r="D92" s="23"/>
      <c r="E92" s="23"/>
      <c r="F92" s="23"/>
      <c r="G92" s="23"/>
      <c r="H92" s="23"/>
      <c r="I92" s="23"/>
      <c r="J92" s="23"/>
      <c r="K92" s="23">
        <f>C92+H92</f>
        <v>0</v>
      </c>
      <c r="L92" s="12"/>
      <c r="M92" s="20"/>
    </row>
    <row r="93" spans="1:13" s="20" customFormat="1" ht="12.75">
      <c r="A93" s="43"/>
      <c r="B93" s="25" t="s">
        <v>61</v>
      </c>
      <c r="C93" s="4">
        <f>D93+E93+F93+G93</f>
        <v>516869.70000000007</v>
      </c>
      <c r="D93" s="2">
        <f>D87+D90+D92</f>
        <v>120833.6</v>
      </c>
      <c r="E93" s="2">
        <f>E87+E90+E92</f>
        <v>30038.9</v>
      </c>
      <c r="F93" s="4">
        <f>F87+F90+F92+F91+F89+F88</f>
        <v>337364.00000000006</v>
      </c>
      <c r="G93" s="2">
        <f>G87+G90+G92+G91+G89</f>
        <v>28633.200000000004</v>
      </c>
      <c r="H93" s="4">
        <f>H87+H90+H92</f>
        <v>110402.09999999999</v>
      </c>
      <c r="I93" s="4">
        <f>I87+I90+I92</f>
        <v>39821</v>
      </c>
      <c r="J93" s="2">
        <f>J87+J90+J92</f>
        <v>1490</v>
      </c>
      <c r="K93" s="4">
        <f t="shared" si="7"/>
        <v>627271.8</v>
      </c>
      <c r="L93" s="19"/>
      <c r="M93" s="91"/>
    </row>
    <row r="94" ht="12.75">
      <c r="C94" s="44"/>
    </row>
    <row r="95" ht="12.75" hidden="1">
      <c r="C95" s="44"/>
    </row>
    <row r="96" ht="12.75">
      <c r="C96" s="44"/>
    </row>
    <row r="97" spans="3:11" ht="12.75">
      <c r="C97" s="44"/>
      <c r="D97" s="44"/>
      <c r="E97" s="44"/>
      <c r="F97" s="44"/>
      <c r="G97" s="44"/>
      <c r="H97" s="44"/>
      <c r="I97" s="44"/>
      <c r="J97" s="44"/>
      <c r="K97" s="44"/>
    </row>
    <row r="98" spans="6:8" ht="12.75">
      <c r="F98" s="44"/>
      <c r="G98" s="44"/>
      <c r="H98" s="44"/>
    </row>
  </sheetData>
  <mergeCells count="13">
    <mergeCell ref="K9:K11"/>
    <mergeCell ref="C10:C11"/>
    <mergeCell ref="D10:G10"/>
    <mergeCell ref="H10:H11"/>
    <mergeCell ref="J10:J11"/>
    <mergeCell ref="A9:A11"/>
    <mergeCell ref="B9:B11"/>
    <mergeCell ref="C9:G9"/>
    <mergeCell ref="H9:J9"/>
    <mergeCell ref="E1:H1"/>
    <mergeCell ref="E3:I3"/>
    <mergeCell ref="A6:H6"/>
    <mergeCell ref="A7:H7"/>
  </mergeCells>
  <printOptions/>
  <pageMargins left="0.54" right="0.46" top="0.11" bottom="0.16" header="0.09" footer="0.1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221"/>
  <sheetViews>
    <sheetView workbookViewId="0" topLeftCell="A87">
      <selection activeCell="L92" sqref="L92"/>
    </sheetView>
  </sheetViews>
  <sheetFormatPr defaultColWidth="9.00390625" defaultRowHeight="12.75"/>
  <cols>
    <col min="1" max="1" width="7.375" style="97" customWidth="1"/>
    <col min="2" max="2" width="23.625" style="6" customWidth="1"/>
    <col min="3" max="3" width="10.125" style="7" customWidth="1"/>
    <col min="4" max="4" width="9.375" style="7" customWidth="1"/>
    <col min="5" max="5" width="9.125" style="7" customWidth="1"/>
    <col min="6" max="6" width="10.125" style="7" customWidth="1"/>
    <col min="7" max="7" width="8.75390625" style="7" customWidth="1"/>
    <col min="8" max="8" width="9.625" style="7" customWidth="1"/>
    <col min="9" max="9" width="8.25390625" style="7" customWidth="1"/>
    <col min="10" max="10" width="8.625" style="7" customWidth="1"/>
    <col min="11" max="11" width="11.375" style="7" customWidth="1"/>
    <col min="12" max="59" width="8.875" style="45" customWidth="1"/>
    <col min="60" max="16384" width="8.875" style="7" customWidth="1"/>
  </cols>
  <sheetData>
    <row r="1" spans="6:11" ht="12.75" customHeight="1" hidden="1">
      <c r="F1" s="191"/>
      <c r="G1" s="191"/>
      <c r="H1" s="191"/>
      <c r="I1" s="191"/>
      <c r="J1" s="191"/>
      <c r="K1" s="191"/>
    </row>
    <row r="2" spans="6:11" ht="12.75" customHeight="1" hidden="1">
      <c r="F2" s="9"/>
      <c r="G2" s="9"/>
      <c r="H2" s="9"/>
      <c r="I2" s="9"/>
      <c r="J2" s="9"/>
      <c r="K2" s="9"/>
    </row>
    <row r="3" spans="6:11" ht="12.75" customHeight="1" hidden="1">
      <c r="F3" s="98" t="s">
        <v>224</v>
      </c>
      <c r="G3" s="98"/>
      <c r="H3" s="98"/>
      <c r="I3" s="98"/>
      <c r="J3" s="98"/>
      <c r="K3" s="98"/>
    </row>
    <row r="4" spans="5:11" ht="12.75">
      <c r="E4" s="8" t="s">
        <v>185</v>
      </c>
      <c r="H4" s="228" t="s">
        <v>186</v>
      </c>
      <c r="I4" s="228"/>
      <c r="J4" s="228"/>
      <c r="K4" s="228"/>
    </row>
    <row r="5" spans="8:11" ht="12.75">
      <c r="H5" s="9" t="s">
        <v>114</v>
      </c>
      <c r="I5" s="50"/>
      <c r="J5" s="50"/>
      <c r="K5" s="50"/>
    </row>
    <row r="6" spans="8:11" ht="13.5" customHeight="1">
      <c r="H6" s="204" t="s">
        <v>187</v>
      </c>
      <c r="I6" s="204"/>
      <c r="J6" s="204"/>
      <c r="K6" s="204"/>
    </row>
    <row r="7" ht="13.5" customHeight="1"/>
    <row r="8" spans="1:11" ht="15">
      <c r="A8" s="209" t="s">
        <v>212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</row>
    <row r="9" spans="1:11" ht="15" customHeight="1">
      <c r="A9" s="209" t="s">
        <v>62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</row>
    <row r="10" spans="8:11" ht="13.5" thickBot="1">
      <c r="H10" s="192" t="s">
        <v>0</v>
      </c>
      <c r="I10" s="192"/>
      <c r="J10" s="192"/>
      <c r="K10" s="192"/>
    </row>
    <row r="11" spans="1:11" ht="24.75" customHeight="1" thickBot="1">
      <c r="A11" s="193" t="s">
        <v>1</v>
      </c>
      <c r="B11" s="222" t="s">
        <v>63</v>
      </c>
      <c r="C11" s="225" t="s">
        <v>2</v>
      </c>
      <c r="D11" s="226"/>
      <c r="E11" s="226"/>
      <c r="F11" s="226"/>
      <c r="G11" s="227"/>
      <c r="H11" s="198" t="s">
        <v>91</v>
      </c>
      <c r="I11" s="199"/>
      <c r="J11" s="200"/>
      <c r="K11" s="201" t="s">
        <v>92</v>
      </c>
    </row>
    <row r="12" spans="1:11" ht="40.5" customHeight="1" thickBot="1">
      <c r="A12" s="194"/>
      <c r="B12" s="223"/>
      <c r="C12" s="220" t="s">
        <v>4</v>
      </c>
      <c r="D12" s="225" t="s">
        <v>90</v>
      </c>
      <c r="E12" s="226"/>
      <c r="F12" s="226"/>
      <c r="G12" s="227"/>
      <c r="H12" s="220" t="s">
        <v>4</v>
      </c>
      <c r="I12" s="69" t="s">
        <v>110</v>
      </c>
      <c r="J12" s="201" t="s">
        <v>193</v>
      </c>
      <c r="K12" s="219"/>
    </row>
    <row r="13" spans="1:11" ht="96" customHeight="1" thickBot="1">
      <c r="A13" s="218"/>
      <c r="B13" s="224"/>
      <c r="C13" s="221"/>
      <c r="D13" s="69" t="s">
        <v>88</v>
      </c>
      <c r="E13" s="69" t="s">
        <v>89</v>
      </c>
      <c r="F13" s="69" t="s">
        <v>87</v>
      </c>
      <c r="G13" s="69" t="s">
        <v>191</v>
      </c>
      <c r="H13" s="221"/>
      <c r="I13" s="69" t="s">
        <v>111</v>
      </c>
      <c r="J13" s="202"/>
      <c r="K13" s="202"/>
    </row>
    <row r="14" spans="1:11" ht="13.5" thickBot="1">
      <c r="A14" s="143">
        <v>1</v>
      </c>
      <c r="B14" s="144">
        <v>2</v>
      </c>
      <c r="C14" s="145">
        <v>3</v>
      </c>
      <c r="D14" s="145">
        <v>4</v>
      </c>
      <c r="E14" s="145">
        <v>5</v>
      </c>
      <c r="F14" s="145">
        <v>6</v>
      </c>
      <c r="G14" s="145">
        <v>7</v>
      </c>
      <c r="H14" s="145">
        <v>8</v>
      </c>
      <c r="I14" s="145">
        <v>9</v>
      </c>
      <c r="J14" s="145">
        <v>10</v>
      </c>
      <c r="K14" s="145">
        <v>11</v>
      </c>
    </row>
    <row r="15" spans="1:59" s="101" customFormat="1" ht="24.75" customHeight="1">
      <c r="A15" s="141"/>
      <c r="B15" s="129" t="s">
        <v>64</v>
      </c>
      <c r="C15" s="142">
        <f>SUM(C16:C23)+C86</f>
        <v>24241.300000000003</v>
      </c>
      <c r="D15" s="142">
        <f>SUM(D16:D23)</f>
        <v>394.5</v>
      </c>
      <c r="E15" s="142">
        <f>SUM(E16:E23)</f>
        <v>787.4</v>
      </c>
      <c r="F15" s="142">
        <f>SUM(F16:F23)</f>
        <v>22262.5</v>
      </c>
      <c r="G15" s="142">
        <f>SUM(G16:G23)</f>
        <v>796.9</v>
      </c>
      <c r="H15" s="142"/>
      <c r="I15" s="142">
        <f>SUM(I16:I23)+I86</f>
        <v>0</v>
      </c>
      <c r="J15" s="142">
        <f>SUM(J16:J23)+J86</f>
        <v>0</v>
      </c>
      <c r="K15" s="142">
        <f>SUM(K16:K23)</f>
        <v>24241.300000000003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</row>
    <row r="16" spans="1:59" ht="25.5" customHeight="1">
      <c r="A16" s="102" t="s">
        <v>6</v>
      </c>
      <c r="B16" s="103" t="s">
        <v>7</v>
      </c>
      <c r="C16" s="104">
        <f aca="true" t="shared" si="0" ref="C16:C84">D16+E16+F16+G16</f>
        <v>5813</v>
      </c>
      <c r="D16" s="23">
        <v>394.5</v>
      </c>
      <c r="E16" s="23">
        <v>787.4</v>
      </c>
      <c r="F16" s="23">
        <f>4631.1</f>
        <v>4631.1</v>
      </c>
      <c r="G16" s="23"/>
      <c r="H16" s="23"/>
      <c r="I16" s="23"/>
      <c r="J16" s="23"/>
      <c r="K16" s="23">
        <f aca="true" t="shared" si="1" ref="K16:K36">C16+H16</f>
        <v>5813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</row>
    <row r="17" spans="1:59" ht="38.25" customHeight="1">
      <c r="A17" s="102" t="s">
        <v>225</v>
      </c>
      <c r="B17" s="103" t="s">
        <v>213</v>
      </c>
      <c r="C17" s="104">
        <f t="shared" si="0"/>
        <v>36</v>
      </c>
      <c r="D17" s="23"/>
      <c r="E17" s="23"/>
      <c r="F17" s="23">
        <v>36</v>
      </c>
      <c r="G17" s="23"/>
      <c r="H17" s="23"/>
      <c r="I17" s="23"/>
      <c r="J17" s="23"/>
      <c r="K17" s="23">
        <f t="shared" si="1"/>
        <v>36</v>
      </c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</row>
    <row r="18" spans="1:59" ht="39" customHeight="1">
      <c r="A18" s="102" t="s">
        <v>31</v>
      </c>
      <c r="B18" s="22" t="s">
        <v>250</v>
      </c>
      <c r="C18" s="104">
        <f t="shared" si="0"/>
        <v>27</v>
      </c>
      <c r="D18" s="23"/>
      <c r="E18" s="23"/>
      <c r="F18" s="23">
        <f>27</f>
        <v>27</v>
      </c>
      <c r="G18" s="23"/>
      <c r="H18" s="23"/>
      <c r="I18" s="23"/>
      <c r="J18" s="23"/>
      <c r="K18" s="23">
        <f t="shared" si="1"/>
        <v>27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</row>
    <row r="19" spans="1:59" ht="54.75" customHeight="1">
      <c r="A19" s="102" t="s">
        <v>315</v>
      </c>
      <c r="B19" s="115" t="s">
        <v>221</v>
      </c>
      <c r="C19" s="104">
        <f t="shared" si="0"/>
        <v>7300</v>
      </c>
      <c r="D19" s="23"/>
      <c r="E19" s="23"/>
      <c r="F19" s="23">
        <v>7300</v>
      </c>
      <c r="G19" s="23"/>
      <c r="H19" s="23"/>
      <c r="I19" s="23"/>
      <c r="J19" s="23"/>
      <c r="K19" s="23">
        <f t="shared" si="1"/>
        <v>7300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</row>
    <row r="20" spans="1:59" ht="13.5" customHeight="1">
      <c r="A20" s="102">
        <v>250404</v>
      </c>
      <c r="B20" s="103" t="s">
        <v>214</v>
      </c>
      <c r="C20" s="104">
        <f t="shared" si="0"/>
        <v>225</v>
      </c>
      <c r="D20" s="23"/>
      <c r="E20" s="23"/>
      <c r="F20" s="23">
        <v>225</v>
      </c>
      <c r="G20" s="23"/>
      <c r="H20" s="23"/>
      <c r="I20" s="23"/>
      <c r="J20" s="23"/>
      <c r="K20" s="23">
        <f t="shared" si="1"/>
        <v>225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</row>
    <row r="21" spans="1:59" ht="39" customHeight="1">
      <c r="A21" s="102">
        <v>180109</v>
      </c>
      <c r="B21" s="22" t="s">
        <v>118</v>
      </c>
      <c r="C21" s="104">
        <f>D21+E21+F21+G21</f>
        <v>4960</v>
      </c>
      <c r="D21" s="23"/>
      <c r="E21" s="23"/>
      <c r="F21" s="23">
        <f>4960</f>
        <v>4960</v>
      </c>
      <c r="G21" s="23"/>
      <c r="H21" s="23"/>
      <c r="I21" s="23"/>
      <c r="J21" s="23"/>
      <c r="K21" s="23">
        <f t="shared" si="1"/>
        <v>4960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</row>
    <row r="22" spans="1:59" ht="27" customHeight="1">
      <c r="A22" s="102" t="s">
        <v>238</v>
      </c>
      <c r="B22" s="22" t="s">
        <v>195</v>
      </c>
      <c r="C22" s="104">
        <f>D22+E22+F22+G22</f>
        <v>3.4</v>
      </c>
      <c r="D22" s="23"/>
      <c r="E22" s="23"/>
      <c r="F22" s="23">
        <v>3.4</v>
      </c>
      <c r="G22" s="23"/>
      <c r="H22" s="23"/>
      <c r="I22" s="23"/>
      <c r="J22" s="23"/>
      <c r="K22" s="23">
        <f t="shared" si="1"/>
        <v>3.4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</row>
    <row r="23" spans="1:59" ht="39" customHeight="1">
      <c r="A23" s="102"/>
      <c r="B23" s="155" t="s">
        <v>113</v>
      </c>
      <c r="C23" s="156">
        <f aca="true" t="shared" si="2" ref="C23:K23">C24+C25</f>
        <v>5876.9</v>
      </c>
      <c r="D23" s="156">
        <f t="shared" si="2"/>
        <v>0</v>
      </c>
      <c r="E23" s="156">
        <f t="shared" si="2"/>
        <v>0</v>
      </c>
      <c r="F23" s="156">
        <f t="shared" si="2"/>
        <v>5080</v>
      </c>
      <c r="G23" s="156">
        <f t="shared" si="2"/>
        <v>796.9</v>
      </c>
      <c r="H23" s="156">
        <f t="shared" si="2"/>
        <v>0</v>
      </c>
      <c r="I23" s="156">
        <f t="shared" si="2"/>
        <v>0</v>
      </c>
      <c r="J23" s="156">
        <f t="shared" si="2"/>
        <v>0</v>
      </c>
      <c r="K23" s="156">
        <f t="shared" si="2"/>
        <v>5876.9</v>
      </c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</row>
    <row r="24" spans="1:59" ht="27" customHeight="1">
      <c r="A24" s="21" t="s">
        <v>15</v>
      </c>
      <c r="B24" s="26" t="s">
        <v>16</v>
      </c>
      <c r="C24" s="23">
        <f>D24+E24+F24+G24</f>
        <v>890</v>
      </c>
      <c r="D24" s="23"/>
      <c r="E24" s="23"/>
      <c r="F24" s="23">
        <v>800</v>
      </c>
      <c r="G24" s="23">
        <v>90</v>
      </c>
      <c r="H24" s="23"/>
      <c r="I24" s="23"/>
      <c r="J24" s="23"/>
      <c r="K24" s="23">
        <f>C24+H24</f>
        <v>890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</row>
    <row r="25" spans="1:59" ht="27" customHeight="1">
      <c r="A25" s="21" t="s">
        <v>23</v>
      </c>
      <c r="B25" s="26" t="s">
        <v>117</v>
      </c>
      <c r="C25" s="23">
        <f>D25+E25+F25+G25</f>
        <v>4986.9</v>
      </c>
      <c r="D25" s="23"/>
      <c r="E25" s="23"/>
      <c r="F25" s="23">
        <f>2300+1160+20+800</f>
        <v>4280</v>
      </c>
      <c r="G25" s="23">
        <v>706.9</v>
      </c>
      <c r="H25" s="23"/>
      <c r="I25" s="23"/>
      <c r="J25" s="23"/>
      <c r="K25" s="23">
        <f>C25+H25</f>
        <v>4986.9</v>
      </c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</row>
    <row r="26" spans="1:12" s="20" customFormat="1" ht="27" customHeight="1">
      <c r="A26" s="24"/>
      <c r="B26" s="25" t="s">
        <v>65</v>
      </c>
      <c r="C26" s="99">
        <f t="shared" si="0"/>
        <v>71093.4</v>
      </c>
      <c r="D26" s="2">
        <f aca="true" t="shared" si="3" ref="D26:I26">SUM(D27:D32)</f>
        <v>27658.1</v>
      </c>
      <c r="E26" s="2">
        <f t="shared" si="3"/>
        <v>7363.400000000001</v>
      </c>
      <c r="F26" s="2">
        <f t="shared" si="3"/>
        <v>32047.899999999998</v>
      </c>
      <c r="G26" s="2">
        <f t="shared" si="3"/>
        <v>4024</v>
      </c>
      <c r="H26" s="2">
        <f t="shared" si="3"/>
        <v>1108.8</v>
      </c>
      <c r="I26" s="2">
        <f t="shared" si="3"/>
        <v>0</v>
      </c>
      <c r="J26" s="2"/>
      <c r="K26" s="2">
        <f t="shared" si="1"/>
        <v>72202.2</v>
      </c>
      <c r="L26" s="19"/>
    </row>
    <row r="27" spans="1:59" ht="27" customHeight="1">
      <c r="A27" s="21" t="s">
        <v>24</v>
      </c>
      <c r="B27" s="22" t="s">
        <v>65</v>
      </c>
      <c r="C27" s="104">
        <f t="shared" si="0"/>
        <v>70458.5</v>
      </c>
      <c r="D27" s="34">
        <v>27356.6</v>
      </c>
      <c r="E27" s="34">
        <v>7312.1</v>
      </c>
      <c r="F27" s="34">
        <f>31429.8+300+36</f>
        <v>31765.8</v>
      </c>
      <c r="G27" s="34">
        <v>4024</v>
      </c>
      <c r="H27" s="34">
        <v>930.1</v>
      </c>
      <c r="I27" s="23"/>
      <c r="J27" s="23"/>
      <c r="K27" s="23">
        <f t="shared" si="1"/>
        <v>71388.6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</row>
    <row r="28" spans="1:59" ht="0.75" customHeight="1" hidden="1">
      <c r="A28" s="106"/>
      <c r="B28" s="107"/>
      <c r="C28" s="104">
        <f t="shared" si="0"/>
        <v>0</v>
      </c>
      <c r="D28" s="34"/>
      <c r="E28" s="34"/>
      <c r="F28" s="34"/>
      <c r="G28" s="34"/>
      <c r="H28" s="34"/>
      <c r="I28" s="23"/>
      <c r="J28" s="23"/>
      <c r="K28" s="23">
        <f t="shared" si="1"/>
        <v>0</v>
      </c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</row>
    <row r="29" spans="1:59" ht="27" customHeight="1" hidden="1">
      <c r="A29" s="108"/>
      <c r="B29" s="109"/>
      <c r="C29" s="104">
        <f t="shared" si="0"/>
        <v>0</v>
      </c>
      <c r="D29" s="34"/>
      <c r="E29" s="34"/>
      <c r="F29" s="34"/>
      <c r="G29" s="34"/>
      <c r="H29" s="34"/>
      <c r="I29" s="23"/>
      <c r="J29" s="23"/>
      <c r="K29" s="23">
        <f t="shared" si="1"/>
        <v>0</v>
      </c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</row>
    <row r="30" spans="1:59" ht="54" customHeight="1">
      <c r="A30" s="21">
        <v>130000</v>
      </c>
      <c r="B30" s="42" t="s">
        <v>256</v>
      </c>
      <c r="C30" s="104">
        <f t="shared" si="0"/>
        <v>305.4</v>
      </c>
      <c r="D30" s="34">
        <v>155.8</v>
      </c>
      <c r="E30" s="34">
        <v>4.1</v>
      </c>
      <c r="F30" s="34">
        <v>145.5</v>
      </c>
      <c r="G30" s="34"/>
      <c r="H30" s="34"/>
      <c r="I30" s="23"/>
      <c r="J30" s="23"/>
      <c r="K30" s="23">
        <f t="shared" si="1"/>
        <v>305.4</v>
      </c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</row>
    <row r="31" spans="1:59" ht="39" customHeight="1">
      <c r="A31" s="110" t="s">
        <v>24</v>
      </c>
      <c r="B31" s="42" t="s">
        <v>215</v>
      </c>
      <c r="C31" s="104">
        <f t="shared" si="0"/>
        <v>79.5</v>
      </c>
      <c r="D31" s="34"/>
      <c r="E31" s="34"/>
      <c r="F31" s="34">
        <v>79.5</v>
      </c>
      <c r="G31" s="34"/>
      <c r="H31" s="34"/>
      <c r="I31" s="23"/>
      <c r="J31" s="23"/>
      <c r="K31" s="23">
        <f t="shared" si="1"/>
        <v>79.5</v>
      </c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</row>
    <row r="32" spans="1:59" ht="51.75" customHeight="1">
      <c r="A32" s="110" t="s">
        <v>226</v>
      </c>
      <c r="B32" s="42" t="s">
        <v>241</v>
      </c>
      <c r="C32" s="104">
        <f t="shared" si="0"/>
        <v>249.99999999999997</v>
      </c>
      <c r="D32" s="34">
        <v>145.7</v>
      </c>
      <c r="E32" s="34">
        <v>47.2</v>
      </c>
      <c r="F32" s="111">
        <v>57.1</v>
      </c>
      <c r="G32" s="111"/>
      <c r="H32" s="34">
        <v>178.7</v>
      </c>
      <c r="I32" s="23"/>
      <c r="J32" s="23"/>
      <c r="K32" s="23">
        <f t="shared" si="1"/>
        <v>428.69999999999993</v>
      </c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</row>
    <row r="33" spans="1:59" s="20" customFormat="1" ht="27" customHeight="1">
      <c r="A33" s="24"/>
      <c r="B33" s="112" t="s">
        <v>69</v>
      </c>
      <c r="C33" s="99">
        <f t="shared" si="0"/>
        <v>196966.5</v>
      </c>
      <c r="D33" s="113">
        <f>D34+D35+D36+D38+D39+D37</f>
        <v>72959.2</v>
      </c>
      <c r="E33" s="113">
        <f>E34+E35+E36+E38+E39+E37</f>
        <v>16203.300000000001</v>
      </c>
      <c r="F33" s="113">
        <f>F34+F35+F36+F38+F39+F37</f>
        <v>97225.9</v>
      </c>
      <c r="G33" s="113">
        <f>G34+G35+G36+G38+G39+G37</f>
        <v>10578.1</v>
      </c>
      <c r="H33" s="113">
        <f>H34+H36+H38+H39</f>
        <v>10274.3</v>
      </c>
      <c r="I33" s="2">
        <v>1342.5</v>
      </c>
      <c r="J33" s="2"/>
      <c r="K33" s="2">
        <f t="shared" si="1"/>
        <v>207240.8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</row>
    <row r="34" spans="1:59" ht="31.5" customHeight="1">
      <c r="A34" s="21" t="s">
        <v>25</v>
      </c>
      <c r="B34" s="115" t="s">
        <v>70</v>
      </c>
      <c r="C34" s="104">
        <f t="shared" si="0"/>
        <v>173217.4</v>
      </c>
      <c r="D34" s="34">
        <v>70800.2</v>
      </c>
      <c r="E34" s="34">
        <v>15800</v>
      </c>
      <c r="F34" s="111">
        <f>85917.2+700</f>
        <v>86617.2</v>
      </c>
      <c r="G34" s="40"/>
      <c r="H34" s="23">
        <v>7742.6</v>
      </c>
      <c r="I34" s="23">
        <v>1342.5</v>
      </c>
      <c r="J34" s="23"/>
      <c r="K34" s="23">
        <f t="shared" si="1"/>
        <v>180960</v>
      </c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</row>
    <row r="35" spans="1:59" ht="31.5" customHeight="1">
      <c r="A35" s="21"/>
      <c r="B35" s="115" t="s">
        <v>216</v>
      </c>
      <c r="C35" s="104">
        <f t="shared" si="0"/>
        <v>10578.1</v>
      </c>
      <c r="D35" s="34"/>
      <c r="E35" s="34"/>
      <c r="F35" s="111"/>
      <c r="G35" s="111">
        <v>10578.1</v>
      </c>
      <c r="H35" s="34"/>
      <c r="I35" s="34"/>
      <c r="J35" s="34"/>
      <c r="K35" s="34">
        <f t="shared" si="1"/>
        <v>10578.1</v>
      </c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</row>
    <row r="36" spans="1:59" ht="26.25">
      <c r="A36" s="21"/>
      <c r="B36" s="116" t="s">
        <v>71</v>
      </c>
      <c r="C36" s="104">
        <f t="shared" si="0"/>
        <v>7769</v>
      </c>
      <c r="D36" s="34"/>
      <c r="E36" s="34"/>
      <c r="F36" s="34">
        <v>7769</v>
      </c>
      <c r="G36" s="34"/>
      <c r="H36" s="34"/>
      <c r="I36" s="23"/>
      <c r="J36" s="23"/>
      <c r="K36" s="23">
        <f t="shared" si="1"/>
        <v>7769</v>
      </c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</row>
    <row r="37" spans="1:59" ht="26.25" hidden="1">
      <c r="A37" s="117"/>
      <c r="B37" s="37" t="s">
        <v>216</v>
      </c>
      <c r="C37" s="118">
        <f t="shared" si="0"/>
        <v>0</v>
      </c>
      <c r="D37" s="34"/>
      <c r="E37" s="34"/>
      <c r="F37" s="34"/>
      <c r="G37" s="34"/>
      <c r="H37" s="34"/>
      <c r="I37" s="23"/>
      <c r="J37" s="23"/>
      <c r="K37" s="23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</row>
    <row r="38" spans="1:59" ht="66" customHeight="1">
      <c r="A38" s="110" t="s">
        <v>24</v>
      </c>
      <c r="B38" s="42" t="s">
        <v>72</v>
      </c>
      <c r="C38" s="104">
        <f t="shared" si="0"/>
        <v>5057</v>
      </c>
      <c r="D38" s="34">
        <v>2080.2</v>
      </c>
      <c r="E38" s="34">
        <v>392.6</v>
      </c>
      <c r="F38" s="34">
        <v>2584.2</v>
      </c>
      <c r="G38" s="34"/>
      <c r="H38" s="34">
        <v>2531.7</v>
      </c>
      <c r="I38" s="23"/>
      <c r="J38" s="23"/>
      <c r="K38" s="23">
        <f aca="true" t="shared" si="4" ref="K38:K85">C38+H38</f>
        <v>7588.7</v>
      </c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</row>
    <row r="39" spans="1:59" ht="12.75" customHeight="1">
      <c r="A39" s="21">
        <v>110201</v>
      </c>
      <c r="B39" s="115" t="s">
        <v>73</v>
      </c>
      <c r="C39" s="104">
        <f t="shared" si="0"/>
        <v>345</v>
      </c>
      <c r="D39" s="34">
        <v>78.8</v>
      </c>
      <c r="E39" s="34">
        <v>10.7</v>
      </c>
      <c r="F39" s="34">
        <v>255.5</v>
      </c>
      <c r="G39" s="34"/>
      <c r="H39" s="34"/>
      <c r="I39" s="23"/>
      <c r="J39" s="23"/>
      <c r="K39" s="23">
        <f t="shared" si="4"/>
        <v>345</v>
      </c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</row>
    <row r="40" spans="1:59" s="20" customFormat="1" ht="39" customHeight="1">
      <c r="A40" s="24"/>
      <c r="B40" s="112" t="s">
        <v>74</v>
      </c>
      <c r="C40" s="99">
        <f t="shared" si="0"/>
        <v>37617.9</v>
      </c>
      <c r="D40" s="120">
        <f>SUM(D41:D48)</f>
        <v>10773.4</v>
      </c>
      <c r="E40" s="120">
        <f>SUM(E41:E48)</f>
        <v>4144</v>
      </c>
      <c r="F40" s="120">
        <f>F41+F42+F44+F45+F46+F47+F48</f>
        <v>22664.4</v>
      </c>
      <c r="G40" s="120">
        <f>SUM(G41:G48)</f>
        <v>36.1</v>
      </c>
      <c r="H40" s="120">
        <f>SUM(H41:H48)</f>
        <v>5733.4</v>
      </c>
      <c r="I40" s="2"/>
      <c r="J40" s="2"/>
      <c r="K40" s="2">
        <f t="shared" si="4"/>
        <v>43351.3</v>
      </c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</row>
    <row r="41" spans="1:59" ht="29.25" customHeight="1">
      <c r="A41" s="21" t="s">
        <v>97</v>
      </c>
      <c r="B41" s="22" t="s">
        <v>249</v>
      </c>
      <c r="C41" s="104">
        <f t="shared" si="0"/>
        <v>3.3</v>
      </c>
      <c r="D41" s="23"/>
      <c r="E41" s="23"/>
      <c r="F41" s="23">
        <v>3.3</v>
      </c>
      <c r="G41" s="23"/>
      <c r="H41" s="34"/>
      <c r="I41" s="23"/>
      <c r="J41" s="23"/>
      <c r="K41" s="23">
        <f t="shared" si="4"/>
        <v>3.3</v>
      </c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</row>
    <row r="42" spans="1:59" ht="42" customHeight="1">
      <c r="A42" s="21" t="s">
        <v>31</v>
      </c>
      <c r="B42" s="22" t="s">
        <v>250</v>
      </c>
      <c r="C42" s="104">
        <f t="shared" si="0"/>
        <v>1157.1</v>
      </c>
      <c r="D42" s="23"/>
      <c r="E42" s="23"/>
      <c r="F42" s="23">
        <f>471+F43</f>
        <v>1121</v>
      </c>
      <c r="G42" s="23">
        <v>36.1</v>
      </c>
      <c r="H42" s="34">
        <v>130</v>
      </c>
      <c r="I42" s="23"/>
      <c r="J42" s="23"/>
      <c r="K42" s="23">
        <f t="shared" si="4"/>
        <v>1287.1</v>
      </c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</row>
    <row r="43" spans="1:59" ht="81.75" customHeight="1">
      <c r="A43" s="21"/>
      <c r="B43" s="154" t="s">
        <v>316</v>
      </c>
      <c r="C43" s="104">
        <f t="shared" si="0"/>
        <v>650</v>
      </c>
      <c r="D43" s="23"/>
      <c r="E43" s="23"/>
      <c r="F43" s="23">
        <v>650</v>
      </c>
      <c r="G43" s="23"/>
      <c r="H43" s="34"/>
      <c r="I43" s="23"/>
      <c r="J43" s="23"/>
      <c r="K43" s="23">
        <f t="shared" si="4"/>
        <v>650</v>
      </c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</row>
    <row r="44" spans="1:59" ht="37.5" customHeight="1">
      <c r="A44" s="110" t="s">
        <v>33</v>
      </c>
      <c r="B44" s="22" t="s">
        <v>251</v>
      </c>
      <c r="C44" s="104">
        <f t="shared" si="0"/>
        <v>414.9</v>
      </c>
      <c r="D44" s="23"/>
      <c r="E44" s="23"/>
      <c r="F44" s="23">
        <v>414.9</v>
      </c>
      <c r="G44" s="23"/>
      <c r="H44" s="34"/>
      <c r="I44" s="23"/>
      <c r="J44" s="23"/>
      <c r="K44" s="23">
        <f t="shared" si="4"/>
        <v>414.9</v>
      </c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</row>
    <row r="45" spans="1:59" ht="62.25" customHeight="1">
      <c r="A45" s="121" t="s">
        <v>257</v>
      </c>
      <c r="B45" s="37" t="s">
        <v>202</v>
      </c>
      <c r="C45" s="104">
        <f t="shared" si="0"/>
        <v>33055</v>
      </c>
      <c r="D45" s="40">
        <v>10243.5</v>
      </c>
      <c r="E45" s="23">
        <v>4091.9</v>
      </c>
      <c r="F45" s="23">
        <f>18416.9+418.2-115.5</f>
        <v>18719.600000000002</v>
      </c>
      <c r="G45" s="23"/>
      <c r="H45" s="23">
        <f>1618.6+92.3+3489.1</f>
        <v>5200</v>
      </c>
      <c r="I45" s="23"/>
      <c r="J45" s="23"/>
      <c r="K45" s="23">
        <f t="shared" si="4"/>
        <v>38255</v>
      </c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</row>
    <row r="46" spans="1:59" ht="39.75" customHeight="1">
      <c r="A46" s="21" t="s">
        <v>36</v>
      </c>
      <c r="B46" s="115" t="s">
        <v>37</v>
      </c>
      <c r="C46" s="104">
        <f t="shared" si="0"/>
        <v>56</v>
      </c>
      <c r="D46" s="34"/>
      <c r="E46" s="34"/>
      <c r="F46" s="34">
        <v>56</v>
      </c>
      <c r="G46" s="34"/>
      <c r="H46" s="34"/>
      <c r="I46" s="23"/>
      <c r="J46" s="23"/>
      <c r="K46" s="23">
        <f t="shared" si="4"/>
        <v>56</v>
      </c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</row>
    <row r="47" spans="1:59" ht="30" customHeight="1">
      <c r="A47" s="21" t="s">
        <v>39</v>
      </c>
      <c r="B47" s="37" t="s">
        <v>255</v>
      </c>
      <c r="C47" s="104">
        <f t="shared" si="0"/>
        <v>1531.6</v>
      </c>
      <c r="D47" s="34">
        <v>529.9</v>
      </c>
      <c r="E47" s="34">
        <v>52.1</v>
      </c>
      <c r="F47" s="34">
        <v>949.6</v>
      </c>
      <c r="G47" s="34"/>
      <c r="H47" s="34">
        <v>403.4</v>
      </c>
      <c r="I47" s="23"/>
      <c r="J47" s="23"/>
      <c r="K47" s="23">
        <f t="shared" si="4"/>
        <v>1935</v>
      </c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</row>
    <row r="48" spans="1:59" ht="39.75" customHeight="1">
      <c r="A48" s="21" t="s">
        <v>204</v>
      </c>
      <c r="B48" s="115" t="s">
        <v>240</v>
      </c>
      <c r="C48" s="104">
        <f t="shared" si="0"/>
        <v>1400</v>
      </c>
      <c r="D48" s="34"/>
      <c r="E48" s="34"/>
      <c r="F48" s="34">
        <v>1400</v>
      </c>
      <c r="G48" s="34"/>
      <c r="H48" s="34"/>
      <c r="I48" s="23"/>
      <c r="J48" s="23"/>
      <c r="K48" s="23">
        <f t="shared" si="4"/>
        <v>1400</v>
      </c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</row>
    <row r="49" spans="1:59" ht="27.75" customHeight="1">
      <c r="A49" s="24"/>
      <c r="B49" s="3" t="s">
        <v>217</v>
      </c>
      <c r="C49" s="99">
        <f t="shared" si="0"/>
        <v>4651.5</v>
      </c>
      <c r="D49" s="120">
        <f>D50</f>
        <v>1369.7</v>
      </c>
      <c r="E49" s="120">
        <f>E50</f>
        <v>409.2</v>
      </c>
      <c r="F49" s="120">
        <f>F50</f>
        <v>2872.6</v>
      </c>
      <c r="G49" s="34"/>
      <c r="H49" s="34"/>
      <c r="I49" s="23"/>
      <c r="J49" s="23"/>
      <c r="K49" s="2">
        <f t="shared" si="4"/>
        <v>4651.5</v>
      </c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</row>
    <row r="50" spans="1:59" ht="24.75" customHeight="1">
      <c r="A50" s="21" t="s">
        <v>206</v>
      </c>
      <c r="B50" s="115" t="s">
        <v>207</v>
      </c>
      <c r="C50" s="104">
        <f>D50+E50+F50+G50</f>
        <v>4651.5</v>
      </c>
      <c r="D50" s="34">
        <v>1369.7</v>
      </c>
      <c r="E50" s="34">
        <v>409.2</v>
      </c>
      <c r="F50" s="34">
        <v>2872.6</v>
      </c>
      <c r="G50" s="34"/>
      <c r="H50" s="34"/>
      <c r="I50" s="23"/>
      <c r="J50" s="23"/>
      <c r="K50" s="23">
        <f t="shared" si="4"/>
        <v>4651.5</v>
      </c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</row>
    <row r="51" spans="1:11" ht="52.5" customHeight="1">
      <c r="A51" s="122" t="s">
        <v>236</v>
      </c>
      <c r="B51" s="3" t="s">
        <v>75</v>
      </c>
      <c r="C51" s="99">
        <f t="shared" si="0"/>
        <v>3950.6</v>
      </c>
      <c r="D51" s="120">
        <v>206</v>
      </c>
      <c r="E51" s="120">
        <v>34.3</v>
      </c>
      <c r="F51" s="120">
        <f>843.3+150+700</f>
        <v>1693.3</v>
      </c>
      <c r="G51" s="120">
        <v>2017</v>
      </c>
      <c r="H51" s="120"/>
      <c r="I51" s="2"/>
      <c r="J51" s="2"/>
      <c r="K51" s="2">
        <f t="shared" si="4"/>
        <v>3950.6</v>
      </c>
    </row>
    <row r="52" spans="1:59" s="20" customFormat="1" ht="29.25" customHeight="1">
      <c r="A52" s="24"/>
      <c r="B52" s="3" t="s">
        <v>84</v>
      </c>
      <c r="C52" s="99">
        <f t="shared" si="0"/>
        <v>11770</v>
      </c>
      <c r="D52" s="120"/>
      <c r="E52" s="120"/>
      <c r="F52" s="120">
        <v>7000</v>
      </c>
      <c r="G52" s="120">
        <v>4770</v>
      </c>
      <c r="H52" s="120"/>
      <c r="I52" s="2"/>
      <c r="J52" s="2"/>
      <c r="K52" s="2">
        <f t="shared" si="4"/>
        <v>11770</v>
      </c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</row>
    <row r="53" spans="1:59" ht="26.25" customHeight="1" hidden="1">
      <c r="A53" s="21">
        <v>100100</v>
      </c>
      <c r="B53" s="33" t="s">
        <v>41</v>
      </c>
      <c r="C53" s="99">
        <f t="shared" si="0"/>
        <v>0</v>
      </c>
      <c r="D53" s="34"/>
      <c r="E53" s="34"/>
      <c r="F53" s="34"/>
      <c r="G53" s="34"/>
      <c r="H53" s="34"/>
      <c r="I53" s="23"/>
      <c r="J53" s="23"/>
      <c r="K53" s="23">
        <f t="shared" si="4"/>
        <v>0</v>
      </c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</row>
    <row r="54" spans="1:59" ht="12.75">
      <c r="A54" s="123">
        <v>100206</v>
      </c>
      <c r="B54" s="33" t="s">
        <v>93</v>
      </c>
      <c r="C54" s="104">
        <f t="shared" si="0"/>
        <v>1000</v>
      </c>
      <c r="D54" s="34"/>
      <c r="E54" s="34"/>
      <c r="F54" s="34">
        <v>1000</v>
      </c>
      <c r="G54" s="34"/>
      <c r="H54" s="34"/>
      <c r="I54" s="23"/>
      <c r="J54" s="23"/>
      <c r="K54" s="23">
        <f t="shared" si="4"/>
        <v>1000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ht="12.75">
      <c r="A55" s="21"/>
      <c r="B55" s="33" t="s">
        <v>94</v>
      </c>
      <c r="C55" s="104">
        <f t="shared" si="0"/>
        <v>1000</v>
      </c>
      <c r="D55" s="34"/>
      <c r="E55" s="34"/>
      <c r="F55" s="34">
        <v>1000</v>
      </c>
      <c r="G55" s="34"/>
      <c r="H55" s="34"/>
      <c r="I55" s="23"/>
      <c r="J55" s="23"/>
      <c r="K55" s="23">
        <f t="shared" si="4"/>
        <v>1000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11" ht="24.75" customHeight="1">
      <c r="A56" s="26"/>
      <c r="B56" s="3" t="s">
        <v>76</v>
      </c>
      <c r="C56" s="99">
        <f t="shared" si="0"/>
        <v>27894.4</v>
      </c>
      <c r="D56" s="113">
        <f aca="true" t="shared" si="5" ref="D56:J56">D57+D58+D59+D60+D61+D62</f>
        <v>5451.5</v>
      </c>
      <c r="E56" s="113">
        <f t="shared" si="5"/>
        <v>947.5</v>
      </c>
      <c r="F56" s="113">
        <f>F57+F58+F59+F60+F61+F62+F63</f>
        <v>19640.4</v>
      </c>
      <c r="G56" s="113">
        <f t="shared" si="5"/>
        <v>1855</v>
      </c>
      <c r="H56" s="113">
        <f t="shared" si="5"/>
        <v>705</v>
      </c>
      <c r="I56" s="113">
        <f t="shared" si="5"/>
        <v>0</v>
      </c>
      <c r="J56" s="113">
        <f t="shared" si="5"/>
        <v>0</v>
      </c>
      <c r="K56" s="2">
        <f t="shared" si="4"/>
        <v>28599.4</v>
      </c>
    </row>
    <row r="57" spans="1:59" ht="63" customHeight="1">
      <c r="A57" s="21" t="s">
        <v>77</v>
      </c>
      <c r="B57" s="115" t="s">
        <v>218</v>
      </c>
      <c r="C57" s="104">
        <f t="shared" si="0"/>
        <v>15242</v>
      </c>
      <c r="D57" s="34"/>
      <c r="E57" s="34"/>
      <c r="F57" s="34">
        <f>10387+3000</f>
        <v>13387</v>
      </c>
      <c r="G57" s="34">
        <f>1505+350</f>
        <v>1855</v>
      </c>
      <c r="H57" s="34"/>
      <c r="I57" s="34"/>
      <c r="J57" s="23"/>
      <c r="K57" s="23">
        <f t="shared" si="4"/>
        <v>15242</v>
      </c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</row>
    <row r="58" spans="1:59" ht="51.75" customHeight="1">
      <c r="A58" s="21" t="s">
        <v>78</v>
      </c>
      <c r="B58" s="115" t="s">
        <v>219</v>
      </c>
      <c r="C58" s="104">
        <f t="shared" si="0"/>
        <v>4883.300000000001</v>
      </c>
      <c r="D58" s="34">
        <v>1204.4</v>
      </c>
      <c r="E58" s="34">
        <f>300.9+33.5</f>
        <v>334.4</v>
      </c>
      <c r="F58" s="34">
        <f>2839.1+1821-33.5-1382.1+100</f>
        <v>3344.5000000000005</v>
      </c>
      <c r="G58" s="34"/>
      <c r="H58" s="34">
        <v>465</v>
      </c>
      <c r="I58" s="23"/>
      <c r="J58" s="23"/>
      <c r="K58" s="23">
        <f t="shared" si="4"/>
        <v>5348.300000000001</v>
      </c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</row>
    <row r="59" spans="1:59" ht="54" customHeight="1">
      <c r="A59" s="124">
        <v>70000</v>
      </c>
      <c r="B59" s="125" t="s">
        <v>242</v>
      </c>
      <c r="C59" s="104">
        <f t="shared" si="0"/>
        <v>7290.6</v>
      </c>
      <c r="D59" s="34">
        <v>4247.1</v>
      </c>
      <c r="E59" s="34">
        <v>613.1</v>
      </c>
      <c r="F59" s="34">
        <v>2430.4</v>
      </c>
      <c r="G59" s="34"/>
      <c r="H59" s="34">
        <v>240</v>
      </c>
      <c r="I59" s="23"/>
      <c r="J59" s="23"/>
      <c r="K59" s="23">
        <f t="shared" si="4"/>
        <v>7530.6</v>
      </c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</row>
    <row r="60" spans="1:59" ht="25.5" customHeight="1">
      <c r="A60" s="126">
        <v>70000</v>
      </c>
      <c r="B60" s="125" t="s">
        <v>220</v>
      </c>
      <c r="C60" s="104">
        <f t="shared" si="0"/>
        <v>12.2</v>
      </c>
      <c r="D60" s="34"/>
      <c r="E60" s="34"/>
      <c r="F60" s="34">
        <v>12.2</v>
      </c>
      <c r="G60" s="34"/>
      <c r="H60" s="34"/>
      <c r="I60" s="23"/>
      <c r="J60" s="23"/>
      <c r="K60" s="23">
        <f t="shared" si="4"/>
        <v>12.2</v>
      </c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</row>
    <row r="61" spans="1:59" ht="53.25" customHeight="1">
      <c r="A61" s="21">
        <v>110300</v>
      </c>
      <c r="B61" s="115" t="s">
        <v>248</v>
      </c>
      <c r="C61" s="104">
        <f t="shared" si="0"/>
        <v>200</v>
      </c>
      <c r="D61" s="34"/>
      <c r="E61" s="34"/>
      <c r="F61" s="34">
        <v>200</v>
      </c>
      <c r="G61" s="34"/>
      <c r="H61" s="34"/>
      <c r="I61" s="23"/>
      <c r="J61" s="23"/>
      <c r="K61" s="23">
        <f t="shared" si="4"/>
        <v>200</v>
      </c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</row>
    <row r="62" spans="1:59" ht="42" customHeight="1">
      <c r="A62" s="21">
        <v>120300</v>
      </c>
      <c r="B62" s="115" t="s">
        <v>239</v>
      </c>
      <c r="C62" s="104">
        <f t="shared" si="0"/>
        <v>58.699999999999996</v>
      </c>
      <c r="D62" s="34"/>
      <c r="E62" s="34"/>
      <c r="F62" s="34">
        <f>53.4+5.3</f>
        <v>58.699999999999996</v>
      </c>
      <c r="G62" s="34"/>
      <c r="H62" s="34"/>
      <c r="I62" s="23"/>
      <c r="J62" s="23"/>
      <c r="K62" s="23">
        <f t="shared" si="4"/>
        <v>58.699999999999996</v>
      </c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</row>
    <row r="63" spans="1:59" ht="45.75" customHeight="1">
      <c r="A63" s="21">
        <v>120300</v>
      </c>
      <c r="B63" s="115" t="s">
        <v>237</v>
      </c>
      <c r="C63" s="104">
        <f t="shared" si="0"/>
        <v>207.6</v>
      </c>
      <c r="D63" s="34"/>
      <c r="E63" s="34"/>
      <c r="F63" s="34">
        <v>207.6</v>
      </c>
      <c r="G63" s="34"/>
      <c r="H63" s="34"/>
      <c r="I63" s="23"/>
      <c r="J63" s="23"/>
      <c r="K63" s="23">
        <f>C63+H63</f>
        <v>207.6</v>
      </c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</row>
    <row r="64" spans="1:59" s="20" customFormat="1" ht="26.25">
      <c r="A64" s="24"/>
      <c r="B64" s="3" t="s">
        <v>81</v>
      </c>
      <c r="C64" s="99">
        <f t="shared" si="0"/>
        <v>5316.1</v>
      </c>
      <c r="D64" s="120"/>
      <c r="E64" s="120"/>
      <c r="F64" s="120">
        <f>F66+F65+F67</f>
        <v>4068</v>
      </c>
      <c r="G64" s="120">
        <f>G66+G65+G63+G67</f>
        <v>1248.1</v>
      </c>
      <c r="H64" s="120"/>
      <c r="I64" s="2"/>
      <c r="J64" s="2"/>
      <c r="K64" s="2">
        <f t="shared" si="4"/>
        <v>5316.1</v>
      </c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</row>
    <row r="65" spans="1:59" ht="12.75">
      <c r="A65" s="124">
        <v>120100</v>
      </c>
      <c r="B65" s="72" t="s">
        <v>210</v>
      </c>
      <c r="C65" s="104">
        <f t="shared" si="0"/>
        <v>100</v>
      </c>
      <c r="D65" s="72"/>
      <c r="E65" s="72"/>
      <c r="F65" s="72">
        <f>2000-1500-400</f>
        <v>100</v>
      </c>
      <c r="G65" s="34"/>
      <c r="H65" s="34"/>
      <c r="I65" s="23"/>
      <c r="J65" s="23"/>
      <c r="K65" s="23">
        <f t="shared" si="4"/>
        <v>100</v>
      </c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</row>
    <row r="66" spans="1:59" ht="13.5" customHeight="1">
      <c r="A66" s="21">
        <v>120200</v>
      </c>
      <c r="B66" s="127" t="s">
        <v>47</v>
      </c>
      <c r="C66" s="104">
        <f t="shared" si="0"/>
        <v>5148.1</v>
      </c>
      <c r="D66" s="34"/>
      <c r="E66" s="34"/>
      <c r="F66" s="34">
        <f>4200-300</f>
        <v>3900</v>
      </c>
      <c r="G66" s="34">
        <v>1248.1</v>
      </c>
      <c r="H66" s="34"/>
      <c r="I66" s="23"/>
      <c r="J66" s="23"/>
      <c r="K66" s="23">
        <f t="shared" si="4"/>
        <v>5148.1</v>
      </c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</row>
    <row r="67" spans="1:59" ht="26.25">
      <c r="A67" s="21">
        <v>120300</v>
      </c>
      <c r="B67" s="115" t="s">
        <v>82</v>
      </c>
      <c r="C67" s="104">
        <f t="shared" si="0"/>
        <v>68</v>
      </c>
      <c r="D67" s="34"/>
      <c r="E67" s="34"/>
      <c r="F67" s="34">
        <v>68</v>
      </c>
      <c r="G67" s="34"/>
      <c r="H67" s="34"/>
      <c r="I67" s="34"/>
      <c r="J67" s="34"/>
      <c r="K67" s="34">
        <f t="shared" si="4"/>
        <v>68</v>
      </c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</row>
    <row r="68" spans="1:59" s="20" customFormat="1" ht="37.5" customHeight="1">
      <c r="A68" s="128"/>
      <c r="B68" s="3" t="s">
        <v>83</v>
      </c>
      <c r="C68" s="99">
        <f t="shared" si="0"/>
        <v>16313.7</v>
      </c>
      <c r="D68" s="120">
        <f aca="true" t="shared" si="6" ref="D68:J68">D69+D70+D71</f>
        <v>2021.2</v>
      </c>
      <c r="E68" s="120">
        <f t="shared" si="6"/>
        <v>149.8</v>
      </c>
      <c r="F68" s="120">
        <f t="shared" si="6"/>
        <v>14081.7</v>
      </c>
      <c r="G68" s="120">
        <f t="shared" si="6"/>
        <v>61</v>
      </c>
      <c r="H68" s="120">
        <f>H69+H70+H71</f>
        <v>10.4</v>
      </c>
      <c r="I68" s="120">
        <f t="shared" si="6"/>
        <v>0</v>
      </c>
      <c r="J68" s="120">
        <f t="shared" si="6"/>
        <v>0</v>
      </c>
      <c r="K68" s="2">
        <f>C68+H68</f>
        <v>16324.1</v>
      </c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</row>
    <row r="69" spans="1:59" ht="51.75" customHeight="1">
      <c r="A69" s="21">
        <v>130000</v>
      </c>
      <c r="B69" s="115" t="s">
        <v>221</v>
      </c>
      <c r="C69" s="104">
        <f t="shared" si="0"/>
        <v>13250.7</v>
      </c>
      <c r="D69" s="34">
        <v>1283.9</v>
      </c>
      <c r="E69" s="34">
        <v>23.4</v>
      </c>
      <c r="F69" s="34">
        <f>11222.4+600+7300+60-7300</f>
        <v>11882.400000000001</v>
      </c>
      <c r="G69" s="34">
        <v>61</v>
      </c>
      <c r="H69" s="34">
        <f>I69</f>
        <v>0</v>
      </c>
      <c r="I69" s="23"/>
      <c r="J69" s="23"/>
      <c r="K69" s="2">
        <f>C69+H69</f>
        <v>13250.7</v>
      </c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</row>
    <row r="70" spans="1:59" ht="25.5" customHeight="1">
      <c r="A70" s="110">
        <v>70601</v>
      </c>
      <c r="B70" s="42" t="s">
        <v>243</v>
      </c>
      <c r="C70" s="104">
        <f t="shared" si="0"/>
        <v>3063</v>
      </c>
      <c r="D70" s="34">
        <v>737.3</v>
      </c>
      <c r="E70" s="34">
        <v>126.4</v>
      </c>
      <c r="F70" s="34">
        <v>2199.3</v>
      </c>
      <c r="G70" s="34"/>
      <c r="H70" s="34">
        <v>10.4</v>
      </c>
      <c r="I70" s="23"/>
      <c r="J70" s="23"/>
      <c r="K70" s="2">
        <f t="shared" si="4"/>
        <v>3073.4</v>
      </c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</row>
    <row r="71" spans="1:59" ht="56.25" customHeight="1" hidden="1">
      <c r="A71" s="21"/>
      <c r="B71" s="115"/>
      <c r="C71" s="104">
        <f t="shared" si="0"/>
        <v>0</v>
      </c>
      <c r="D71" s="34"/>
      <c r="E71" s="34"/>
      <c r="F71" s="34"/>
      <c r="G71" s="34"/>
      <c r="H71" s="34"/>
      <c r="I71" s="23"/>
      <c r="J71" s="23"/>
      <c r="K71" s="2">
        <f t="shared" si="4"/>
        <v>0</v>
      </c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</row>
    <row r="72" spans="1:59" s="20" customFormat="1" ht="78.75" customHeight="1">
      <c r="A72" s="24">
        <v>210000</v>
      </c>
      <c r="B72" s="27" t="s">
        <v>223</v>
      </c>
      <c r="C72" s="99">
        <f t="shared" si="0"/>
        <v>2358</v>
      </c>
      <c r="D72" s="120"/>
      <c r="E72" s="120"/>
      <c r="F72" s="120">
        <v>1533</v>
      </c>
      <c r="G72" s="120">
        <v>825</v>
      </c>
      <c r="H72" s="120"/>
      <c r="I72" s="2"/>
      <c r="J72" s="2"/>
      <c r="K72" s="2">
        <f t="shared" si="4"/>
        <v>2358</v>
      </c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</row>
    <row r="73" spans="1:59" s="20" customFormat="1" ht="27" customHeight="1">
      <c r="A73" s="24"/>
      <c r="B73" s="27" t="s">
        <v>247</v>
      </c>
      <c r="C73" s="99">
        <f t="shared" si="0"/>
        <v>200</v>
      </c>
      <c r="D73" s="120"/>
      <c r="E73" s="120"/>
      <c r="F73" s="120">
        <f>F74</f>
        <v>200</v>
      </c>
      <c r="G73" s="120"/>
      <c r="H73" s="120"/>
      <c r="I73" s="2"/>
      <c r="J73" s="2"/>
      <c r="K73" s="2">
        <f t="shared" si="4"/>
        <v>200</v>
      </c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</row>
    <row r="74" spans="1:59" s="20" customFormat="1" ht="36.75" customHeight="1">
      <c r="A74" s="31">
        <v>180404</v>
      </c>
      <c r="B74" s="22" t="s">
        <v>246</v>
      </c>
      <c r="C74" s="104">
        <f t="shared" si="0"/>
        <v>200</v>
      </c>
      <c r="D74" s="34"/>
      <c r="E74" s="34"/>
      <c r="F74" s="34">
        <v>200</v>
      </c>
      <c r="G74" s="34"/>
      <c r="H74" s="34"/>
      <c r="I74" s="23"/>
      <c r="J74" s="23"/>
      <c r="K74" s="23">
        <f t="shared" si="4"/>
        <v>200</v>
      </c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</row>
    <row r="75" spans="1:59" s="20" customFormat="1" ht="36.75" customHeight="1">
      <c r="A75" s="31"/>
      <c r="B75" s="190" t="s">
        <v>318</v>
      </c>
      <c r="C75" s="99">
        <f t="shared" si="0"/>
        <v>14.5</v>
      </c>
      <c r="D75" s="120"/>
      <c r="E75" s="120"/>
      <c r="F75" s="120">
        <f>F76</f>
        <v>14.5</v>
      </c>
      <c r="G75" s="120"/>
      <c r="H75" s="120"/>
      <c r="I75" s="2"/>
      <c r="J75" s="2"/>
      <c r="K75" s="2">
        <f t="shared" si="4"/>
        <v>14.5</v>
      </c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</row>
    <row r="76" spans="1:59" s="20" customFormat="1" ht="38.25" customHeight="1">
      <c r="A76" s="123">
        <v>180410</v>
      </c>
      <c r="B76" s="22" t="s">
        <v>189</v>
      </c>
      <c r="C76" s="104">
        <f t="shared" si="0"/>
        <v>14.5</v>
      </c>
      <c r="D76" s="23"/>
      <c r="E76" s="23"/>
      <c r="F76" s="23">
        <v>14.5</v>
      </c>
      <c r="G76" s="34"/>
      <c r="H76" s="34"/>
      <c r="I76" s="23"/>
      <c r="J76" s="23"/>
      <c r="K76" s="23">
        <f t="shared" si="4"/>
        <v>14.5</v>
      </c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</row>
    <row r="77" spans="1:59" s="20" customFormat="1" ht="27.75" customHeight="1">
      <c r="A77" s="24"/>
      <c r="B77" s="3" t="s">
        <v>86</v>
      </c>
      <c r="C77" s="99">
        <f t="shared" si="0"/>
        <v>114481.80000000002</v>
      </c>
      <c r="D77" s="120">
        <f>D78+D82+D84+D76+D85+D86+D87+D88+D89+D90+D91+D92+D93+D81</f>
        <v>0</v>
      </c>
      <c r="E77" s="120">
        <f>E78+E82+E84+E76+E85+E86+E87+E88+E89+E90+E91+E92+E93+E81</f>
        <v>0</v>
      </c>
      <c r="F77" s="120">
        <f aca="true" t="shared" si="7" ref="F77:K77">F78+F82+F84+F85+F86+F87+F88+F89+F90+F91+F92+F93+F81</f>
        <v>112059.80000000002</v>
      </c>
      <c r="G77" s="120">
        <f t="shared" si="7"/>
        <v>2422</v>
      </c>
      <c r="H77" s="120">
        <f t="shared" si="7"/>
        <v>92570.20000000001</v>
      </c>
      <c r="I77" s="120">
        <f t="shared" si="7"/>
        <v>38478.5</v>
      </c>
      <c r="J77" s="120">
        <f t="shared" si="7"/>
        <v>1490</v>
      </c>
      <c r="K77" s="120">
        <f t="shared" si="7"/>
        <v>207052</v>
      </c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</row>
    <row r="78" spans="1:59" s="135" customFormat="1" ht="12.75" hidden="1">
      <c r="A78" s="130"/>
      <c r="B78" s="131"/>
      <c r="C78" s="99">
        <f t="shared" si="0"/>
        <v>0</v>
      </c>
      <c r="D78" s="133"/>
      <c r="E78" s="133"/>
      <c r="F78" s="133"/>
      <c r="G78" s="133"/>
      <c r="H78" s="133"/>
      <c r="I78" s="133"/>
      <c r="J78" s="133"/>
      <c r="K78" s="133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.75" hidden="1">
      <c r="A79" s="21"/>
      <c r="B79" s="115"/>
      <c r="C79" s="99">
        <f t="shared" si="0"/>
        <v>0</v>
      </c>
      <c r="D79" s="34"/>
      <c r="E79" s="34"/>
      <c r="F79" s="34"/>
      <c r="G79" s="34"/>
      <c r="H79" s="34"/>
      <c r="I79" s="23"/>
      <c r="J79" s="23"/>
      <c r="K79" s="23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</row>
    <row r="80" spans="1:59" ht="39" customHeight="1" hidden="1">
      <c r="A80" s="21"/>
      <c r="B80" s="22"/>
      <c r="C80" s="99">
        <f t="shared" si="0"/>
        <v>0</v>
      </c>
      <c r="D80" s="23"/>
      <c r="E80" s="23"/>
      <c r="F80" s="23"/>
      <c r="G80" s="23"/>
      <c r="H80" s="23"/>
      <c r="I80" s="23"/>
      <c r="J80" s="23"/>
      <c r="K80" s="23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59" ht="39" customHeight="1">
      <c r="A81" s="21" t="s">
        <v>19</v>
      </c>
      <c r="B81" s="26" t="s">
        <v>20</v>
      </c>
      <c r="C81" s="104">
        <f t="shared" si="0"/>
        <v>2422</v>
      </c>
      <c r="D81" s="23"/>
      <c r="E81" s="23"/>
      <c r="F81" s="23"/>
      <c r="G81" s="23">
        <v>2422</v>
      </c>
      <c r="H81" s="23"/>
      <c r="I81" s="23"/>
      <c r="J81" s="23"/>
      <c r="K81" s="23">
        <f>C81+H81</f>
        <v>2422</v>
      </c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</row>
    <row r="82" spans="1:59" ht="37.5" customHeight="1">
      <c r="A82" s="21">
        <v>150100</v>
      </c>
      <c r="B82" s="115" t="s">
        <v>109</v>
      </c>
      <c r="C82" s="104">
        <f t="shared" si="0"/>
        <v>0</v>
      </c>
      <c r="D82" s="34"/>
      <c r="E82" s="34"/>
      <c r="F82" s="34"/>
      <c r="G82" s="34"/>
      <c r="H82" s="34">
        <f>I82</f>
        <v>38478.5</v>
      </c>
      <c r="I82" s="23">
        <f>7890+22506.3+5482.2+1490+1000+110</f>
        <v>38478.5</v>
      </c>
      <c r="J82" s="23">
        <v>1490</v>
      </c>
      <c r="K82" s="23">
        <f t="shared" si="4"/>
        <v>38478.5</v>
      </c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 ht="29.25" customHeight="1" hidden="1">
      <c r="A83" s="21"/>
      <c r="B83" s="115" t="s">
        <v>190</v>
      </c>
      <c r="C83" s="104">
        <f t="shared" si="0"/>
        <v>0</v>
      </c>
      <c r="D83" s="34"/>
      <c r="E83" s="34"/>
      <c r="F83" s="34"/>
      <c r="G83" s="34"/>
      <c r="H83" s="34">
        <v>1342.5</v>
      </c>
      <c r="I83" s="23">
        <v>1342.5</v>
      </c>
      <c r="J83" s="23"/>
      <c r="K83" s="23">
        <f t="shared" si="4"/>
        <v>1342.5</v>
      </c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</row>
    <row r="84" spans="1:59" ht="54.75" customHeight="1">
      <c r="A84" s="21">
        <v>170703</v>
      </c>
      <c r="B84" s="115" t="s">
        <v>85</v>
      </c>
      <c r="C84" s="104">
        <f t="shared" si="0"/>
        <v>0</v>
      </c>
      <c r="D84" s="34"/>
      <c r="E84" s="34"/>
      <c r="F84" s="34"/>
      <c r="G84" s="34"/>
      <c r="H84" s="34">
        <v>27817.1</v>
      </c>
      <c r="I84" s="23"/>
      <c r="J84" s="23"/>
      <c r="K84" s="23">
        <f t="shared" si="4"/>
        <v>27817.1</v>
      </c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</row>
    <row r="85" spans="1:59" ht="12.75">
      <c r="A85" s="123">
        <v>230000</v>
      </c>
      <c r="B85" s="22" t="s">
        <v>129</v>
      </c>
      <c r="C85" s="23">
        <f>D85+E85+F85</f>
        <v>0.1</v>
      </c>
      <c r="D85" s="23"/>
      <c r="E85" s="23"/>
      <c r="F85" s="23">
        <v>0.1</v>
      </c>
      <c r="G85" s="23"/>
      <c r="H85" s="23"/>
      <c r="I85" s="23"/>
      <c r="J85" s="23"/>
      <c r="K85" s="23">
        <f t="shared" si="4"/>
        <v>0.1</v>
      </c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</row>
    <row r="86" spans="1:59" ht="27" customHeight="1">
      <c r="A86" s="123" t="s">
        <v>233</v>
      </c>
      <c r="B86" s="22" t="s">
        <v>234</v>
      </c>
      <c r="C86" s="23"/>
      <c r="D86" s="23"/>
      <c r="E86" s="23"/>
      <c r="F86" s="23"/>
      <c r="G86" s="23"/>
      <c r="H86" s="34">
        <v>23470.6</v>
      </c>
      <c r="I86" s="23"/>
      <c r="J86" s="23"/>
      <c r="K86" s="23">
        <f>C86+H86</f>
        <v>23470.6</v>
      </c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</row>
    <row r="87" spans="1:59" ht="66">
      <c r="A87" s="123">
        <v>240900</v>
      </c>
      <c r="B87" s="22" t="s">
        <v>57</v>
      </c>
      <c r="C87" s="104">
        <f aca="true" t="shared" si="8" ref="C87:C93">D87+E87+F87+G87</f>
        <v>0</v>
      </c>
      <c r="D87" s="23"/>
      <c r="E87" s="23"/>
      <c r="F87" s="23"/>
      <c r="G87" s="23"/>
      <c r="H87" s="23">
        <f>2061.1+742.9</f>
        <v>2804</v>
      </c>
      <c r="I87" s="23"/>
      <c r="J87" s="23"/>
      <c r="K87" s="23">
        <f aca="true" t="shared" si="9" ref="K87:K93">C87+H87</f>
        <v>2804</v>
      </c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59" ht="36" customHeight="1">
      <c r="A88" s="21"/>
      <c r="B88" s="115" t="s">
        <v>112</v>
      </c>
      <c r="C88" s="104">
        <f t="shared" si="8"/>
        <v>19577.60000000001</v>
      </c>
      <c r="D88" s="34"/>
      <c r="E88" s="34"/>
      <c r="F88" s="23">
        <f>380512.3-338534.6-9012.3-13387.8</f>
        <v>19577.60000000001</v>
      </c>
      <c r="G88" s="23"/>
      <c r="H88" s="34"/>
      <c r="I88" s="23"/>
      <c r="J88" s="23"/>
      <c r="K88" s="23">
        <f t="shared" si="9"/>
        <v>19577.60000000001</v>
      </c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</row>
    <row r="89" spans="1:59" ht="12.75">
      <c r="A89" s="21">
        <v>250102</v>
      </c>
      <c r="B89" s="115" t="s">
        <v>59</v>
      </c>
      <c r="C89" s="104">
        <f t="shared" si="8"/>
        <v>1500</v>
      </c>
      <c r="D89" s="34"/>
      <c r="E89" s="34"/>
      <c r="F89" s="34">
        <f>3500-2000</f>
        <v>1500</v>
      </c>
      <c r="G89" s="34"/>
      <c r="H89" s="34"/>
      <c r="I89" s="23"/>
      <c r="J89" s="23"/>
      <c r="K89" s="23">
        <f t="shared" si="9"/>
        <v>1500</v>
      </c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</row>
    <row r="90" spans="1:59" ht="26.25">
      <c r="A90" s="123">
        <v>250203</v>
      </c>
      <c r="B90" s="22" t="s">
        <v>195</v>
      </c>
      <c r="C90" s="104">
        <f t="shared" si="8"/>
        <v>159.6</v>
      </c>
      <c r="D90" s="23"/>
      <c r="E90" s="23"/>
      <c r="F90" s="23">
        <f>163-3.4</f>
        <v>159.6</v>
      </c>
      <c r="G90" s="34"/>
      <c r="H90" s="34"/>
      <c r="I90" s="23"/>
      <c r="J90" s="23"/>
      <c r="K90" s="23">
        <f t="shared" si="9"/>
        <v>159.6</v>
      </c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</row>
    <row r="91" spans="1:59" ht="39">
      <c r="A91" s="123">
        <v>250306</v>
      </c>
      <c r="B91" s="22" t="s">
        <v>134</v>
      </c>
      <c r="C91" s="104">
        <f t="shared" si="8"/>
        <v>14372.2</v>
      </c>
      <c r="D91" s="23"/>
      <c r="E91" s="23"/>
      <c r="F91" s="23">
        <f>7890+5482.2+1000</f>
        <v>14372.2</v>
      </c>
      <c r="G91" s="23"/>
      <c r="H91" s="23"/>
      <c r="I91" s="23"/>
      <c r="J91" s="23"/>
      <c r="K91" s="23">
        <f t="shared" si="9"/>
        <v>14372.2</v>
      </c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</row>
    <row r="92" spans="1:59" ht="52.5">
      <c r="A92" s="123">
        <v>250313</v>
      </c>
      <c r="B92" s="22" t="s">
        <v>245</v>
      </c>
      <c r="C92" s="104">
        <f t="shared" si="8"/>
        <v>13705.5</v>
      </c>
      <c r="D92" s="23"/>
      <c r="E92" s="23"/>
      <c r="F92" s="23">
        <v>13705.5</v>
      </c>
      <c r="G92" s="23"/>
      <c r="H92" s="23"/>
      <c r="I92" s="23"/>
      <c r="J92" s="23"/>
      <c r="K92" s="23">
        <f t="shared" si="9"/>
        <v>13705.5</v>
      </c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</row>
    <row r="93" spans="1:59" ht="26.25">
      <c r="A93" s="123">
        <v>250301</v>
      </c>
      <c r="B93" s="42" t="s">
        <v>135</v>
      </c>
      <c r="C93" s="104">
        <f t="shared" si="8"/>
        <v>62744.8</v>
      </c>
      <c r="D93" s="23"/>
      <c r="E93" s="23"/>
      <c r="F93" s="23">
        <v>62744.8</v>
      </c>
      <c r="G93" s="23"/>
      <c r="H93" s="23"/>
      <c r="I93" s="23"/>
      <c r="J93" s="23"/>
      <c r="K93" s="23">
        <f t="shared" si="9"/>
        <v>62744.8</v>
      </c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</row>
    <row r="94" spans="1:59" ht="12.75">
      <c r="A94" s="123"/>
      <c r="B94" s="42"/>
      <c r="C94" s="104"/>
      <c r="D94" s="23"/>
      <c r="E94" s="23"/>
      <c r="F94" s="23"/>
      <c r="G94" s="23"/>
      <c r="H94" s="23"/>
      <c r="I94" s="23"/>
      <c r="J94" s="23"/>
      <c r="K94" s="23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</row>
    <row r="95" spans="1:59" s="20" customFormat="1" ht="12.75">
      <c r="A95" s="24"/>
      <c r="B95" s="152" t="s">
        <v>61</v>
      </c>
      <c r="C95" s="113">
        <f>C15+C26+C33+C40+C49+C51+C52+C56+C64+C68+C72+C73+C77+C75</f>
        <v>516869.70000000007</v>
      </c>
      <c r="D95" s="113">
        <f aca="true" t="shared" si="10" ref="D95:J95">D15+D26+D33+D40+D49+D51+D52+D56+D64+D68+D72+D73+D77</f>
        <v>120833.59999999998</v>
      </c>
      <c r="E95" s="113">
        <f t="shared" si="10"/>
        <v>30038.9</v>
      </c>
      <c r="F95" s="113">
        <f>F15+F26+F33+F40+F49+F51+F52+F56+F64+F68+F72+F73+F77+F75</f>
        <v>337364</v>
      </c>
      <c r="G95" s="113">
        <f t="shared" si="10"/>
        <v>28633.199999999997</v>
      </c>
      <c r="H95" s="113">
        <f t="shared" si="10"/>
        <v>110402.1</v>
      </c>
      <c r="I95" s="113">
        <f t="shared" si="10"/>
        <v>39821</v>
      </c>
      <c r="J95" s="113">
        <f t="shared" si="10"/>
        <v>1490</v>
      </c>
      <c r="K95" s="113">
        <f>K15+K26+K33+K40+K49+K51+K52+K56+K64+K68+K72+K73+K77+K75</f>
        <v>627271.7999999999</v>
      </c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</row>
    <row r="96" spans="1:59" s="12" customFormat="1" ht="12.75">
      <c r="A96" s="136"/>
      <c r="B96" s="137"/>
      <c r="C96" s="44"/>
      <c r="D96" s="140"/>
      <c r="E96" s="140"/>
      <c r="F96" s="140"/>
      <c r="G96" s="140"/>
      <c r="H96" s="140"/>
      <c r="I96" s="148"/>
      <c r="J96" s="148"/>
      <c r="K96" s="148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</row>
    <row r="97" spans="3:11" ht="12.75">
      <c r="C97" s="147"/>
      <c r="D97" s="147"/>
      <c r="E97" s="147"/>
      <c r="F97" s="147"/>
      <c r="G97" s="147"/>
      <c r="H97" s="147"/>
      <c r="I97" s="147"/>
      <c r="J97" s="147"/>
      <c r="K97" s="147"/>
    </row>
    <row r="98" spans="3:11" ht="12.75">
      <c r="C98" s="147"/>
      <c r="D98" s="147"/>
      <c r="E98" s="147"/>
      <c r="F98" s="147"/>
      <c r="G98" s="147"/>
      <c r="H98" s="147"/>
      <c r="I98" s="147"/>
      <c r="J98" s="147"/>
      <c r="K98" s="147"/>
    </row>
    <row r="99" ht="12.75">
      <c r="C99" s="45"/>
    </row>
    <row r="100" spans="3:11" ht="12.75">
      <c r="C100" s="147"/>
      <c r="D100" s="153"/>
      <c r="E100" s="153"/>
      <c r="F100" s="153"/>
      <c r="G100" s="153"/>
      <c r="H100" s="147"/>
      <c r="I100" s="153"/>
      <c r="K100" s="147"/>
    </row>
    <row r="101" spans="3:11" ht="12.75">
      <c r="C101" s="147"/>
      <c r="H101" s="44"/>
      <c r="K101" s="44"/>
    </row>
    <row r="102" ht="12.75">
      <c r="C102" s="45"/>
    </row>
    <row r="103" ht="12.75">
      <c r="C103" s="45"/>
    </row>
    <row r="104" ht="12.75">
      <c r="C104" s="45"/>
    </row>
    <row r="105" ht="12.75">
      <c r="C105" s="45"/>
    </row>
    <row r="106" ht="12.75">
      <c r="C106" s="45"/>
    </row>
    <row r="107" ht="12.75">
      <c r="C107" s="45"/>
    </row>
    <row r="108" ht="12.75">
      <c r="C108" s="45"/>
    </row>
    <row r="109" ht="12.75">
      <c r="C109" s="45"/>
    </row>
    <row r="110" ht="12.75">
      <c r="C110" s="45"/>
    </row>
    <row r="111" ht="12.75">
      <c r="C111" s="45"/>
    </row>
    <row r="112" ht="12.75">
      <c r="C112" s="45"/>
    </row>
    <row r="113" ht="12.75">
      <c r="C113" s="45"/>
    </row>
    <row r="114" ht="12.75">
      <c r="C114" s="45"/>
    </row>
    <row r="115" ht="12.75">
      <c r="C115" s="45"/>
    </row>
    <row r="116" ht="12.75">
      <c r="C116" s="45"/>
    </row>
    <row r="117" ht="12.75">
      <c r="C117" s="45"/>
    </row>
    <row r="118" ht="12.75">
      <c r="C118" s="45"/>
    </row>
    <row r="119" ht="12.75">
      <c r="C119" s="45"/>
    </row>
    <row r="120" ht="12.75">
      <c r="C120" s="45"/>
    </row>
    <row r="121" ht="12.75">
      <c r="C121" s="45"/>
    </row>
    <row r="122" ht="12.75">
      <c r="C122" s="45"/>
    </row>
    <row r="123" ht="12.75">
      <c r="C123" s="45"/>
    </row>
    <row r="124" ht="12.75">
      <c r="C124" s="45"/>
    </row>
    <row r="125" ht="12.75">
      <c r="C125" s="45"/>
    </row>
    <row r="126" ht="12.75">
      <c r="C126" s="45"/>
    </row>
    <row r="127" ht="12.75">
      <c r="C127" s="45"/>
    </row>
    <row r="128" ht="12.75">
      <c r="C128" s="45"/>
    </row>
    <row r="129" ht="12.75">
      <c r="C129" s="45"/>
    </row>
    <row r="130" ht="12.75">
      <c r="C130" s="45"/>
    </row>
    <row r="131" ht="12.75">
      <c r="C131" s="45"/>
    </row>
    <row r="132" ht="12.75">
      <c r="C132" s="45"/>
    </row>
    <row r="133" ht="12.75">
      <c r="C133" s="45"/>
    </row>
    <row r="134" ht="12.75">
      <c r="C134" s="45"/>
    </row>
    <row r="135" ht="12.75">
      <c r="C135" s="45"/>
    </row>
    <row r="136" ht="12.75">
      <c r="C136" s="45"/>
    </row>
    <row r="137" ht="12.75">
      <c r="C137" s="45"/>
    </row>
    <row r="138" ht="12.75">
      <c r="C138" s="45"/>
    </row>
    <row r="139" ht="12.75">
      <c r="C139" s="45"/>
    </row>
    <row r="140" ht="12.75">
      <c r="C140" s="45"/>
    </row>
    <row r="141" ht="12.75">
      <c r="C141" s="45"/>
    </row>
    <row r="142" ht="12.75">
      <c r="C142" s="45"/>
    </row>
    <row r="143" ht="12.75">
      <c r="C143" s="45"/>
    </row>
    <row r="144" ht="12.75">
      <c r="C144" s="45"/>
    </row>
    <row r="145" ht="12.75">
      <c r="C145" s="45"/>
    </row>
    <row r="146" ht="12.75">
      <c r="C146" s="45"/>
    </row>
    <row r="147" ht="12.75">
      <c r="C147" s="45"/>
    </row>
    <row r="148" ht="12.75">
      <c r="C148" s="45"/>
    </row>
    <row r="149" ht="12.75">
      <c r="C149" s="45"/>
    </row>
    <row r="150" ht="12.75">
      <c r="C150" s="45"/>
    </row>
    <row r="151" ht="12.75">
      <c r="C151" s="45"/>
    </row>
    <row r="152" ht="12.75">
      <c r="C152" s="45"/>
    </row>
    <row r="153" ht="12.75">
      <c r="C153" s="45"/>
    </row>
    <row r="154" ht="12.75">
      <c r="C154" s="45"/>
    </row>
    <row r="155" ht="12.75">
      <c r="C155" s="45"/>
    </row>
    <row r="156" ht="12.75">
      <c r="C156" s="45"/>
    </row>
    <row r="157" ht="12.75">
      <c r="C157" s="45"/>
    </row>
    <row r="158" ht="12.75">
      <c r="C158" s="45"/>
    </row>
    <row r="159" ht="12.75">
      <c r="C159" s="45"/>
    </row>
    <row r="160" ht="12.75">
      <c r="C160" s="45"/>
    </row>
    <row r="161" ht="12.75">
      <c r="C161" s="45"/>
    </row>
    <row r="162" ht="12.75">
      <c r="C162" s="45"/>
    </row>
    <row r="163" ht="12.75">
      <c r="C163" s="45"/>
    </row>
    <row r="164" ht="12.75">
      <c r="C164" s="45"/>
    </row>
    <row r="165" ht="12.75">
      <c r="C165" s="45"/>
    </row>
    <row r="166" ht="12.75">
      <c r="C166" s="45"/>
    </row>
    <row r="167" ht="12.75">
      <c r="C167" s="45"/>
    </row>
    <row r="168" ht="12.75">
      <c r="C168" s="45"/>
    </row>
    <row r="169" ht="12.75">
      <c r="C169" s="45"/>
    </row>
    <row r="170" ht="12.75">
      <c r="C170" s="45"/>
    </row>
    <row r="171" ht="12.75">
      <c r="C171" s="45"/>
    </row>
    <row r="172" ht="12.75">
      <c r="C172" s="45"/>
    </row>
    <row r="173" ht="12.75">
      <c r="C173" s="45"/>
    </row>
    <row r="174" ht="12.75">
      <c r="C174" s="45"/>
    </row>
    <row r="175" ht="12.75">
      <c r="C175" s="45"/>
    </row>
    <row r="176" ht="12.75">
      <c r="C176" s="45"/>
    </row>
    <row r="177" ht="12.75">
      <c r="C177" s="45"/>
    </row>
    <row r="178" ht="12.75">
      <c r="C178" s="45"/>
    </row>
    <row r="179" ht="12.75">
      <c r="C179" s="45"/>
    </row>
    <row r="180" ht="12.75">
      <c r="C180" s="45"/>
    </row>
    <row r="181" ht="12.75">
      <c r="C181" s="45"/>
    </row>
    <row r="182" ht="12.75">
      <c r="C182" s="45"/>
    </row>
    <row r="183" ht="12.75">
      <c r="C183" s="45"/>
    </row>
    <row r="184" ht="12.75">
      <c r="C184" s="45"/>
    </row>
    <row r="185" ht="12.75">
      <c r="C185" s="45"/>
    </row>
    <row r="186" ht="12.75">
      <c r="C186" s="45"/>
    </row>
    <row r="187" ht="12.75">
      <c r="C187" s="45"/>
    </row>
    <row r="188" ht="12.75">
      <c r="C188" s="45"/>
    </row>
    <row r="189" ht="12.75">
      <c r="C189" s="45"/>
    </row>
    <row r="190" ht="12.75">
      <c r="C190" s="45"/>
    </row>
    <row r="191" ht="12.75">
      <c r="C191" s="45"/>
    </row>
    <row r="192" ht="12.75">
      <c r="C192" s="45"/>
    </row>
    <row r="193" ht="12.75">
      <c r="C193" s="45"/>
    </row>
    <row r="194" ht="12.75">
      <c r="C194" s="45"/>
    </row>
    <row r="195" ht="12.75">
      <c r="C195" s="45"/>
    </row>
    <row r="196" ht="12.75">
      <c r="C196" s="45"/>
    </row>
    <row r="197" ht="12.75">
      <c r="C197" s="45"/>
    </row>
    <row r="198" ht="12.75">
      <c r="C198" s="45"/>
    </row>
    <row r="199" ht="12.75">
      <c r="C199" s="45"/>
    </row>
    <row r="200" ht="12.75">
      <c r="C200" s="45"/>
    </row>
    <row r="201" ht="12.75">
      <c r="C201" s="45"/>
    </row>
    <row r="202" ht="12.75">
      <c r="C202" s="45"/>
    </row>
    <row r="203" ht="12.75">
      <c r="C203" s="45"/>
    </row>
    <row r="204" ht="12.75">
      <c r="C204" s="45"/>
    </row>
    <row r="205" ht="12.75">
      <c r="C205" s="45"/>
    </row>
    <row r="206" ht="12.75">
      <c r="C206" s="45"/>
    </row>
    <row r="207" ht="12.75">
      <c r="C207" s="45"/>
    </row>
    <row r="208" ht="12.75">
      <c r="C208" s="45"/>
    </row>
    <row r="209" ht="12.75">
      <c r="C209" s="45"/>
    </row>
    <row r="210" ht="12.75">
      <c r="C210" s="45"/>
    </row>
    <row r="211" ht="12.75">
      <c r="C211" s="45"/>
    </row>
    <row r="212" ht="12.75">
      <c r="C212" s="45"/>
    </row>
    <row r="213" ht="12.75">
      <c r="C213" s="45"/>
    </row>
    <row r="214" ht="12.75">
      <c r="C214" s="45"/>
    </row>
    <row r="215" ht="12.75">
      <c r="C215" s="45"/>
    </row>
    <row r="216" ht="12.75">
      <c r="C216" s="45"/>
    </row>
    <row r="217" ht="12.75">
      <c r="C217" s="45"/>
    </row>
    <row r="218" ht="12.75">
      <c r="C218" s="45"/>
    </row>
    <row r="219" ht="12.75">
      <c r="C219" s="45"/>
    </row>
    <row r="220" ht="12.75">
      <c r="C220" s="45"/>
    </row>
    <row r="221" ht="12.75">
      <c r="C221" s="45"/>
    </row>
  </sheetData>
  <mergeCells count="15">
    <mergeCell ref="A9:K9"/>
    <mergeCell ref="H10:K10"/>
    <mergeCell ref="A11:A13"/>
    <mergeCell ref="B11:B13"/>
    <mergeCell ref="C11:G11"/>
    <mergeCell ref="F1:K1"/>
    <mergeCell ref="H4:K4"/>
    <mergeCell ref="H6:K6"/>
    <mergeCell ref="A8:K8"/>
    <mergeCell ref="H11:J11"/>
    <mergeCell ref="K11:K13"/>
    <mergeCell ref="C12:C13"/>
    <mergeCell ref="D12:G12"/>
    <mergeCell ref="H12:H13"/>
    <mergeCell ref="J12:J13"/>
  </mergeCells>
  <printOptions/>
  <pageMargins left="0.35433070866141736" right="0.4724409448818898" top="0.2755905511811024" bottom="0.11811023622047245" header="0.07874015748031496" footer="0.11811023622047245"/>
  <pageSetup horizontalDpi="600" verticalDpi="600" orientation="portrait" paperSize="9" scale="80" r:id="rId1"/>
  <rowBreaks count="3" manualBreakCount="3">
    <brk id="39" max="10" man="1"/>
    <brk id="67" max="10" man="1"/>
    <brk id="9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zoomScale="60" zoomScaleNormal="75" workbookViewId="0" topLeftCell="A1">
      <selection activeCell="J8" sqref="J8"/>
    </sheetView>
  </sheetViews>
  <sheetFormatPr defaultColWidth="9.00390625" defaultRowHeight="12.75"/>
  <cols>
    <col min="1" max="1" width="17.50390625" style="159" customWidth="1"/>
    <col min="2" max="2" width="12.50390625" style="159" customWidth="1"/>
    <col min="3" max="3" width="19.875" style="159" customWidth="1"/>
    <col min="4" max="4" width="16.875" style="159" customWidth="1"/>
    <col min="5" max="5" width="25.625" style="159" customWidth="1"/>
    <col min="6" max="6" width="24.00390625" style="159" customWidth="1"/>
    <col min="7" max="7" width="14.125" style="159" customWidth="1"/>
    <col min="8" max="16384" width="9.125" style="159" customWidth="1"/>
  </cols>
  <sheetData>
    <row r="1" ht="12.75">
      <c r="F1" s="159" t="s">
        <v>259</v>
      </c>
    </row>
    <row r="2" ht="12.75">
      <c r="F2" s="159" t="s">
        <v>114</v>
      </c>
    </row>
    <row r="3" ht="13.5" customHeight="1">
      <c r="F3" s="159" t="s">
        <v>260</v>
      </c>
    </row>
    <row r="4" spans="1:7" ht="37.5" customHeight="1">
      <c r="A4" s="235" t="s">
        <v>317</v>
      </c>
      <c r="B4" s="235"/>
      <c r="C4" s="235"/>
      <c r="D4" s="235"/>
      <c r="E4" s="235"/>
      <c r="F4" s="235"/>
      <c r="G4" s="235"/>
    </row>
    <row r="5" spans="1:7" ht="12.75" customHeight="1">
      <c r="A5" s="160"/>
      <c r="B5" s="160"/>
      <c r="C5" s="160"/>
      <c r="D5" s="160"/>
      <c r="E5" s="160"/>
      <c r="F5" s="160"/>
      <c r="G5" s="161" t="s">
        <v>261</v>
      </c>
    </row>
    <row r="6" spans="1:7" ht="12" customHeight="1">
      <c r="A6" s="236"/>
      <c r="B6" s="238" t="s">
        <v>262</v>
      </c>
      <c r="C6" s="239"/>
      <c r="D6" s="239"/>
      <c r="E6" s="239"/>
      <c r="F6" s="239"/>
      <c r="G6" s="240"/>
    </row>
    <row r="7" spans="1:7" s="162" customFormat="1" ht="192" customHeight="1">
      <c r="A7" s="237"/>
      <c r="B7" s="241" t="s">
        <v>263</v>
      </c>
      <c r="C7" s="241" t="s">
        <v>264</v>
      </c>
      <c r="D7" s="241" t="s">
        <v>265</v>
      </c>
      <c r="E7" s="241" t="s">
        <v>266</v>
      </c>
      <c r="F7" s="241" t="s">
        <v>267</v>
      </c>
      <c r="G7" s="243" t="s">
        <v>4</v>
      </c>
    </row>
    <row r="8" spans="1:7" s="162" customFormat="1" ht="53.25" customHeight="1">
      <c r="A8" s="237"/>
      <c r="B8" s="242"/>
      <c r="C8" s="242"/>
      <c r="D8" s="242"/>
      <c r="E8" s="242"/>
      <c r="F8" s="242"/>
      <c r="G8" s="244"/>
    </row>
    <row r="9" spans="1:7" s="170" customFormat="1" ht="15">
      <c r="A9" s="163" t="s">
        <v>268</v>
      </c>
      <c r="B9" s="164">
        <v>634.3</v>
      </c>
      <c r="C9" s="165">
        <v>1131.7</v>
      </c>
      <c r="D9" s="166">
        <v>144.9</v>
      </c>
      <c r="E9" s="167">
        <v>227.3</v>
      </c>
      <c r="F9" s="168">
        <v>42.7</v>
      </c>
      <c r="G9" s="169">
        <f aca="true" t="shared" si="0" ref="G9:G54">E9+D9+C9+B9+F9</f>
        <v>2180.8999999999996</v>
      </c>
    </row>
    <row r="10" spans="1:7" s="170" customFormat="1" ht="15">
      <c r="A10" s="171" t="s">
        <v>269</v>
      </c>
      <c r="B10" s="164">
        <v>2652.4</v>
      </c>
      <c r="C10" s="165">
        <v>7541.3</v>
      </c>
      <c r="D10" s="172">
        <v>318.9</v>
      </c>
      <c r="E10" s="167">
        <v>943.7</v>
      </c>
      <c r="F10" s="168">
        <v>141.5</v>
      </c>
      <c r="G10" s="173">
        <f t="shared" si="0"/>
        <v>11597.8</v>
      </c>
    </row>
    <row r="11" spans="1:7" s="170" customFormat="1" ht="15">
      <c r="A11" s="171" t="s">
        <v>270</v>
      </c>
      <c r="B11" s="164">
        <v>7894</v>
      </c>
      <c r="C11" s="165">
        <v>13608.2</v>
      </c>
      <c r="D11" s="172">
        <v>280.2</v>
      </c>
      <c r="E11" s="167">
        <v>2492.1</v>
      </c>
      <c r="F11" s="168">
        <v>294.6</v>
      </c>
      <c r="G11" s="173">
        <f t="shared" si="0"/>
        <v>24569.1</v>
      </c>
    </row>
    <row r="12" spans="1:7" s="170" customFormat="1" ht="15">
      <c r="A12" s="171" t="s">
        <v>271</v>
      </c>
      <c r="B12" s="164">
        <v>1467.6</v>
      </c>
      <c r="C12" s="165">
        <v>2001.9</v>
      </c>
      <c r="D12" s="172">
        <v>263.5</v>
      </c>
      <c r="E12" s="167">
        <v>54.7</v>
      </c>
      <c r="F12" s="168">
        <v>116.5</v>
      </c>
      <c r="G12" s="173">
        <f t="shared" si="0"/>
        <v>3904.2</v>
      </c>
    </row>
    <row r="13" spans="1:7" s="170" customFormat="1" ht="15">
      <c r="A13" s="171" t="s">
        <v>272</v>
      </c>
      <c r="B13" s="164">
        <v>1550.7</v>
      </c>
      <c r="C13" s="165">
        <v>2625.6</v>
      </c>
      <c r="D13" s="172">
        <v>97.6</v>
      </c>
      <c r="E13" s="167">
        <v>435.4</v>
      </c>
      <c r="F13" s="168">
        <v>81.5</v>
      </c>
      <c r="G13" s="173">
        <f t="shared" si="0"/>
        <v>4790.8</v>
      </c>
    </row>
    <row r="14" spans="1:7" s="170" customFormat="1" ht="15">
      <c r="A14" s="171" t="s">
        <v>273</v>
      </c>
      <c r="B14" s="164">
        <v>1166.7</v>
      </c>
      <c r="C14" s="165">
        <v>1017.2</v>
      </c>
      <c r="D14" s="172">
        <v>75.4</v>
      </c>
      <c r="E14" s="167">
        <v>65.2</v>
      </c>
      <c r="F14" s="168">
        <v>55.4</v>
      </c>
      <c r="G14" s="173">
        <f t="shared" si="0"/>
        <v>2379.9</v>
      </c>
    </row>
    <row r="15" spans="1:7" s="170" customFormat="1" ht="15">
      <c r="A15" s="171" t="s">
        <v>274</v>
      </c>
      <c r="B15" s="164">
        <v>1311.1</v>
      </c>
      <c r="C15" s="165">
        <v>1431.9</v>
      </c>
      <c r="D15" s="172">
        <v>48.7</v>
      </c>
      <c r="E15" s="167">
        <v>84.7</v>
      </c>
      <c r="F15" s="168">
        <v>77</v>
      </c>
      <c r="G15" s="173">
        <f t="shared" si="0"/>
        <v>2953.4</v>
      </c>
    </row>
    <row r="16" spans="1:7" s="170" customFormat="1" ht="15">
      <c r="A16" s="171" t="s">
        <v>275</v>
      </c>
      <c r="B16" s="164">
        <v>636.8</v>
      </c>
      <c r="C16" s="165">
        <v>2021</v>
      </c>
      <c r="D16" s="172">
        <v>6.2</v>
      </c>
      <c r="E16" s="167">
        <v>27.9</v>
      </c>
      <c r="F16" s="168">
        <v>47.5</v>
      </c>
      <c r="G16" s="173">
        <f t="shared" si="0"/>
        <v>2739.3999999999996</v>
      </c>
    </row>
    <row r="17" spans="1:7" s="170" customFormat="1" ht="15">
      <c r="A17" s="171" t="s">
        <v>276</v>
      </c>
      <c r="B17" s="164">
        <v>17217.8</v>
      </c>
      <c r="C17" s="165">
        <v>46861.8</v>
      </c>
      <c r="D17" s="172">
        <v>746</v>
      </c>
      <c r="E17" s="167">
        <v>9890.2</v>
      </c>
      <c r="F17" s="168">
        <v>1272.8</v>
      </c>
      <c r="G17" s="173">
        <f t="shared" si="0"/>
        <v>75988.6</v>
      </c>
    </row>
    <row r="18" spans="1:7" s="170" customFormat="1" ht="15">
      <c r="A18" s="171" t="s">
        <v>277</v>
      </c>
      <c r="B18" s="164">
        <v>2353.6</v>
      </c>
      <c r="C18" s="165">
        <v>4690</v>
      </c>
      <c r="D18" s="172">
        <v>172.9</v>
      </c>
      <c r="E18" s="167">
        <v>471.8</v>
      </c>
      <c r="F18" s="168">
        <v>89</v>
      </c>
      <c r="G18" s="173">
        <f t="shared" si="0"/>
        <v>7777.299999999999</v>
      </c>
    </row>
    <row r="19" spans="1:7" s="170" customFormat="1" ht="15">
      <c r="A19" s="171" t="s">
        <v>278</v>
      </c>
      <c r="B19" s="164">
        <v>2665.8</v>
      </c>
      <c r="C19" s="165">
        <v>7070.3</v>
      </c>
      <c r="D19" s="172">
        <v>232.7</v>
      </c>
      <c r="E19" s="167">
        <v>1211.4</v>
      </c>
      <c r="F19" s="168">
        <v>123.9</v>
      </c>
      <c r="G19" s="173">
        <f t="shared" si="0"/>
        <v>11304.1</v>
      </c>
    </row>
    <row r="20" spans="1:7" s="170" customFormat="1" ht="15">
      <c r="A20" s="171" t="s">
        <v>279</v>
      </c>
      <c r="B20" s="164">
        <v>326.3</v>
      </c>
      <c r="C20" s="165">
        <v>312.8</v>
      </c>
      <c r="D20" s="172">
        <v>5.1</v>
      </c>
      <c r="E20" s="167">
        <v>16.6</v>
      </c>
      <c r="F20" s="168">
        <v>14.1</v>
      </c>
      <c r="G20" s="173">
        <f t="shared" si="0"/>
        <v>674.9</v>
      </c>
    </row>
    <row r="21" spans="1:7" s="170" customFormat="1" ht="15">
      <c r="A21" s="171" t="s">
        <v>280</v>
      </c>
      <c r="B21" s="164">
        <v>504.3</v>
      </c>
      <c r="C21" s="165">
        <v>500.7</v>
      </c>
      <c r="D21" s="172">
        <v>16.7</v>
      </c>
      <c r="E21" s="167">
        <v>27.5</v>
      </c>
      <c r="F21" s="168">
        <v>25.3</v>
      </c>
      <c r="G21" s="173">
        <f t="shared" si="0"/>
        <v>1074.5</v>
      </c>
    </row>
    <row r="22" spans="1:7" s="170" customFormat="1" ht="15">
      <c r="A22" s="171" t="s">
        <v>281</v>
      </c>
      <c r="B22" s="164">
        <v>3075.8</v>
      </c>
      <c r="C22" s="165">
        <v>5785.9</v>
      </c>
      <c r="D22" s="172">
        <v>55.5</v>
      </c>
      <c r="E22" s="167">
        <v>888.5</v>
      </c>
      <c r="F22" s="168">
        <v>115.7</v>
      </c>
      <c r="G22" s="173">
        <f t="shared" si="0"/>
        <v>9921.400000000001</v>
      </c>
    </row>
    <row r="23" spans="1:7" s="170" customFormat="1" ht="15">
      <c r="A23" s="171" t="s">
        <v>282</v>
      </c>
      <c r="B23" s="164">
        <v>6608.3</v>
      </c>
      <c r="C23" s="165">
        <v>10793</v>
      </c>
      <c r="D23" s="172">
        <v>284</v>
      </c>
      <c r="E23" s="167">
        <v>1374.8</v>
      </c>
      <c r="F23" s="168">
        <v>174.1</v>
      </c>
      <c r="G23" s="173">
        <f t="shared" si="0"/>
        <v>19234.199999999997</v>
      </c>
    </row>
    <row r="24" spans="1:7" s="170" customFormat="1" ht="15">
      <c r="A24" s="171" t="s">
        <v>283</v>
      </c>
      <c r="B24" s="164">
        <v>1284.8</v>
      </c>
      <c r="C24" s="165">
        <v>2015.8</v>
      </c>
      <c r="D24" s="172">
        <v>515.6</v>
      </c>
      <c r="E24" s="174">
        <v>88</v>
      </c>
      <c r="F24" s="168">
        <v>70.9</v>
      </c>
      <c r="G24" s="173">
        <f t="shared" si="0"/>
        <v>3975.1</v>
      </c>
    </row>
    <row r="25" spans="1:7" s="170" customFormat="1" ht="15">
      <c r="A25" s="171" t="s">
        <v>284</v>
      </c>
      <c r="B25" s="164">
        <v>1681</v>
      </c>
      <c r="C25" s="165">
        <v>1309.9</v>
      </c>
      <c r="D25" s="172">
        <v>1255.4</v>
      </c>
      <c r="E25" s="167">
        <v>65.6</v>
      </c>
      <c r="F25" s="168">
        <v>56.9</v>
      </c>
      <c r="G25" s="173">
        <f t="shared" si="0"/>
        <v>4368.799999999999</v>
      </c>
    </row>
    <row r="26" spans="1:7" s="170" customFormat="1" ht="15">
      <c r="A26" s="171" t="s">
        <v>285</v>
      </c>
      <c r="B26" s="164">
        <v>10314.1</v>
      </c>
      <c r="C26" s="165">
        <v>15169.9</v>
      </c>
      <c r="D26" s="172">
        <v>550.8</v>
      </c>
      <c r="E26" s="167">
        <v>1583.6</v>
      </c>
      <c r="F26" s="168">
        <v>421.1</v>
      </c>
      <c r="G26" s="173">
        <f t="shared" si="0"/>
        <v>28039.5</v>
      </c>
    </row>
    <row r="27" spans="1:7" s="170" customFormat="1" ht="15">
      <c r="A27" s="171" t="s">
        <v>286</v>
      </c>
      <c r="B27" s="164">
        <v>7573.9</v>
      </c>
      <c r="C27" s="165">
        <v>18002.1</v>
      </c>
      <c r="D27" s="172">
        <v>239.6</v>
      </c>
      <c r="E27" s="167">
        <v>3226.6</v>
      </c>
      <c r="F27" s="168">
        <v>397.1</v>
      </c>
      <c r="G27" s="173">
        <f t="shared" si="0"/>
        <v>29439.299999999996</v>
      </c>
    </row>
    <row r="28" spans="1:7" s="170" customFormat="1" ht="15">
      <c r="A28" s="171" t="s">
        <v>287</v>
      </c>
      <c r="B28" s="164">
        <v>315.4</v>
      </c>
      <c r="C28" s="165">
        <v>124.7</v>
      </c>
      <c r="D28" s="172">
        <v>15.5</v>
      </c>
      <c r="E28" s="167">
        <v>23.3</v>
      </c>
      <c r="F28" s="168">
        <v>15.6</v>
      </c>
      <c r="G28" s="173">
        <f t="shared" si="0"/>
        <v>494.5</v>
      </c>
    </row>
    <row r="29" spans="1:7" s="170" customFormat="1" ht="15">
      <c r="A29" s="171" t="s">
        <v>288</v>
      </c>
      <c r="B29" s="164">
        <v>1989</v>
      </c>
      <c r="C29" s="165">
        <v>773.5</v>
      </c>
      <c r="D29" s="172">
        <v>121.5</v>
      </c>
      <c r="E29" s="167">
        <v>76.1</v>
      </c>
      <c r="F29" s="168">
        <v>64.5</v>
      </c>
      <c r="G29" s="173">
        <f t="shared" si="0"/>
        <v>3024.6</v>
      </c>
    </row>
    <row r="30" spans="1:7" s="170" customFormat="1" ht="15">
      <c r="A30" s="171" t="s">
        <v>289</v>
      </c>
      <c r="B30" s="164">
        <v>4289.1</v>
      </c>
      <c r="C30" s="165">
        <v>7497</v>
      </c>
      <c r="D30" s="172">
        <v>252.6</v>
      </c>
      <c r="E30" s="167">
        <v>977.8</v>
      </c>
      <c r="F30" s="168">
        <v>157.7</v>
      </c>
      <c r="G30" s="173">
        <f t="shared" si="0"/>
        <v>13174.2</v>
      </c>
    </row>
    <row r="31" spans="1:7" s="170" customFormat="1" ht="15">
      <c r="A31" s="171" t="s">
        <v>290</v>
      </c>
      <c r="B31" s="164">
        <v>1983</v>
      </c>
      <c r="C31" s="165">
        <v>1222.3</v>
      </c>
      <c r="D31" s="172">
        <v>165.7</v>
      </c>
      <c r="E31" s="167">
        <v>97.4</v>
      </c>
      <c r="F31" s="168">
        <v>82</v>
      </c>
      <c r="G31" s="173">
        <f t="shared" si="0"/>
        <v>3550.4</v>
      </c>
    </row>
    <row r="32" spans="1:7" s="170" customFormat="1" ht="15">
      <c r="A32" s="171" t="s">
        <v>291</v>
      </c>
      <c r="B32" s="164">
        <v>2263.6</v>
      </c>
      <c r="C32" s="165">
        <v>1425.6</v>
      </c>
      <c r="D32" s="172">
        <v>226.3</v>
      </c>
      <c r="E32" s="167">
        <v>120.9</v>
      </c>
      <c r="F32" s="168">
        <v>99</v>
      </c>
      <c r="G32" s="173">
        <f t="shared" si="0"/>
        <v>4135.4</v>
      </c>
    </row>
    <row r="33" spans="1:7" s="170" customFormat="1" ht="15">
      <c r="A33" s="171" t="s">
        <v>292</v>
      </c>
      <c r="B33" s="164">
        <v>473.4</v>
      </c>
      <c r="C33" s="165">
        <v>823.7</v>
      </c>
      <c r="D33" s="172">
        <v>0</v>
      </c>
      <c r="E33" s="167">
        <v>15.3</v>
      </c>
      <c r="F33" s="168">
        <v>14.8</v>
      </c>
      <c r="G33" s="173">
        <f t="shared" si="0"/>
        <v>1327.2</v>
      </c>
    </row>
    <row r="34" spans="1:7" s="170" customFormat="1" ht="15">
      <c r="A34" s="171" t="s">
        <v>293</v>
      </c>
      <c r="B34" s="164">
        <v>2562.9</v>
      </c>
      <c r="C34" s="165">
        <v>6145</v>
      </c>
      <c r="D34" s="172">
        <v>338.8</v>
      </c>
      <c r="E34" s="167">
        <v>736.8</v>
      </c>
      <c r="F34" s="168">
        <v>109.1</v>
      </c>
      <c r="G34" s="173">
        <f t="shared" si="0"/>
        <v>9892.6</v>
      </c>
    </row>
    <row r="35" spans="1:7" s="170" customFormat="1" ht="15">
      <c r="A35" s="171" t="s">
        <v>294</v>
      </c>
      <c r="B35" s="164">
        <v>2032.9</v>
      </c>
      <c r="C35" s="165">
        <v>1145</v>
      </c>
      <c r="D35" s="172">
        <v>147</v>
      </c>
      <c r="E35" s="167">
        <v>92.1</v>
      </c>
      <c r="F35" s="168">
        <v>70.4</v>
      </c>
      <c r="G35" s="173">
        <f t="shared" si="0"/>
        <v>3487.4</v>
      </c>
    </row>
    <row r="36" spans="1:7" s="170" customFormat="1" ht="15">
      <c r="A36" s="171" t="s">
        <v>295</v>
      </c>
      <c r="B36" s="164">
        <v>741.7</v>
      </c>
      <c r="C36" s="165">
        <v>1397.6</v>
      </c>
      <c r="D36" s="172">
        <v>213.3</v>
      </c>
      <c r="E36" s="167">
        <v>36.5</v>
      </c>
      <c r="F36" s="168">
        <v>55.9</v>
      </c>
      <c r="G36" s="173">
        <f t="shared" si="0"/>
        <v>2445</v>
      </c>
    </row>
    <row r="37" spans="1:7" s="170" customFormat="1" ht="15">
      <c r="A37" s="171" t="s">
        <v>296</v>
      </c>
      <c r="B37" s="164">
        <v>878.9</v>
      </c>
      <c r="C37" s="165">
        <v>301.3</v>
      </c>
      <c r="D37" s="172">
        <v>313.8</v>
      </c>
      <c r="E37" s="167">
        <v>19.4</v>
      </c>
      <c r="F37" s="168">
        <v>40</v>
      </c>
      <c r="G37" s="173">
        <f t="shared" si="0"/>
        <v>1553.4</v>
      </c>
    </row>
    <row r="38" spans="1:7" s="170" customFormat="1" ht="15">
      <c r="A38" s="171" t="s">
        <v>297</v>
      </c>
      <c r="B38" s="164">
        <v>1924.6</v>
      </c>
      <c r="C38" s="165">
        <v>2785.9</v>
      </c>
      <c r="D38" s="172">
        <v>438.4</v>
      </c>
      <c r="E38" s="167">
        <v>46.9</v>
      </c>
      <c r="F38" s="168">
        <v>68.8</v>
      </c>
      <c r="G38" s="173">
        <f t="shared" si="0"/>
        <v>5264.599999999999</v>
      </c>
    </row>
    <row r="39" spans="1:7" s="170" customFormat="1" ht="15">
      <c r="A39" s="171" t="s">
        <v>298</v>
      </c>
      <c r="B39" s="164">
        <v>1927.2</v>
      </c>
      <c r="C39" s="165">
        <v>2026.2</v>
      </c>
      <c r="D39" s="172">
        <v>430</v>
      </c>
      <c r="E39" s="167">
        <v>44.2</v>
      </c>
      <c r="F39" s="168">
        <v>32.5</v>
      </c>
      <c r="G39" s="173">
        <f t="shared" si="0"/>
        <v>4460.1</v>
      </c>
    </row>
    <row r="40" spans="1:7" s="170" customFormat="1" ht="15">
      <c r="A40" s="171" t="s">
        <v>299</v>
      </c>
      <c r="B40" s="164">
        <v>1831.8</v>
      </c>
      <c r="C40" s="165">
        <v>494</v>
      </c>
      <c r="D40" s="172">
        <v>654.2</v>
      </c>
      <c r="E40" s="167">
        <v>44</v>
      </c>
      <c r="F40" s="168">
        <v>61.5</v>
      </c>
      <c r="G40" s="173">
        <f t="shared" si="0"/>
        <v>3085.5</v>
      </c>
    </row>
    <row r="41" spans="1:7" s="170" customFormat="1" ht="15">
      <c r="A41" s="171" t="s">
        <v>300</v>
      </c>
      <c r="B41" s="164">
        <v>2094.2</v>
      </c>
      <c r="C41" s="165">
        <v>2654.8</v>
      </c>
      <c r="D41" s="172">
        <v>1157</v>
      </c>
      <c r="E41" s="167">
        <v>79.6</v>
      </c>
      <c r="F41" s="168">
        <v>96.4</v>
      </c>
      <c r="G41" s="173">
        <f t="shared" si="0"/>
        <v>6082</v>
      </c>
    </row>
    <row r="42" spans="1:7" s="170" customFormat="1" ht="15">
      <c r="A42" s="171" t="s">
        <v>301</v>
      </c>
      <c r="B42" s="164">
        <v>904.3</v>
      </c>
      <c r="C42" s="165">
        <v>1109.9</v>
      </c>
      <c r="D42" s="172">
        <v>261.3</v>
      </c>
      <c r="E42" s="167">
        <v>24.4</v>
      </c>
      <c r="F42" s="168">
        <v>55.2</v>
      </c>
      <c r="G42" s="173">
        <f t="shared" si="0"/>
        <v>2355.1</v>
      </c>
    </row>
    <row r="43" spans="1:7" s="170" customFormat="1" ht="15">
      <c r="A43" s="171" t="s">
        <v>302</v>
      </c>
      <c r="B43" s="164">
        <v>414.9</v>
      </c>
      <c r="C43" s="165">
        <v>124</v>
      </c>
      <c r="D43" s="172">
        <v>312.7</v>
      </c>
      <c r="E43" s="167">
        <v>18.2</v>
      </c>
      <c r="F43" s="168">
        <v>14</v>
      </c>
      <c r="G43" s="173">
        <f t="shared" si="0"/>
        <v>883.8</v>
      </c>
    </row>
    <row r="44" spans="1:7" s="170" customFormat="1" ht="15">
      <c r="A44" s="171" t="s">
        <v>303</v>
      </c>
      <c r="B44" s="164">
        <v>738.8</v>
      </c>
      <c r="C44" s="165">
        <v>910.5</v>
      </c>
      <c r="D44" s="172">
        <v>317.5</v>
      </c>
      <c r="E44" s="167">
        <v>16.8</v>
      </c>
      <c r="F44" s="168">
        <v>15.8</v>
      </c>
      <c r="G44" s="173">
        <f t="shared" si="0"/>
        <v>1999.3999999999999</v>
      </c>
    </row>
    <row r="45" spans="1:7" s="170" customFormat="1" ht="15">
      <c r="A45" s="171" t="s">
        <v>304</v>
      </c>
      <c r="B45" s="164">
        <v>684.6</v>
      </c>
      <c r="C45" s="165">
        <v>188.2</v>
      </c>
      <c r="D45" s="172">
        <v>593.2</v>
      </c>
      <c r="E45" s="167">
        <v>31.7</v>
      </c>
      <c r="F45" s="168">
        <v>21.8</v>
      </c>
      <c r="G45" s="173">
        <f t="shared" si="0"/>
        <v>1519.5000000000002</v>
      </c>
    </row>
    <row r="46" spans="1:7" s="170" customFormat="1" ht="15">
      <c r="A46" s="171" t="s">
        <v>305</v>
      </c>
      <c r="B46" s="164">
        <v>2523</v>
      </c>
      <c r="C46" s="165">
        <v>3039.9</v>
      </c>
      <c r="D46" s="172">
        <v>857.2</v>
      </c>
      <c r="E46" s="167">
        <v>76.5</v>
      </c>
      <c r="F46" s="168">
        <v>111</v>
      </c>
      <c r="G46" s="173">
        <f t="shared" si="0"/>
        <v>6607.6</v>
      </c>
    </row>
    <row r="47" spans="1:7" s="170" customFormat="1" ht="15">
      <c r="A47" s="171" t="s">
        <v>306</v>
      </c>
      <c r="B47" s="164">
        <v>1139</v>
      </c>
      <c r="C47" s="165">
        <v>1456.2</v>
      </c>
      <c r="D47" s="172">
        <v>291.7</v>
      </c>
      <c r="E47" s="167">
        <v>30.1</v>
      </c>
      <c r="F47" s="168">
        <v>56</v>
      </c>
      <c r="G47" s="173">
        <f t="shared" si="0"/>
        <v>2973</v>
      </c>
    </row>
    <row r="48" spans="1:7" s="170" customFormat="1" ht="15">
      <c r="A48" s="171" t="s">
        <v>307</v>
      </c>
      <c r="B48" s="164">
        <v>594.8</v>
      </c>
      <c r="C48" s="165">
        <v>992.2</v>
      </c>
      <c r="D48" s="172">
        <v>292</v>
      </c>
      <c r="E48" s="167">
        <v>22.8</v>
      </c>
      <c r="F48" s="168">
        <v>50.8</v>
      </c>
      <c r="G48" s="173">
        <f t="shared" si="0"/>
        <v>1952.6</v>
      </c>
    </row>
    <row r="49" spans="1:7" s="170" customFormat="1" ht="15">
      <c r="A49" s="171" t="s">
        <v>308</v>
      </c>
      <c r="B49" s="164">
        <v>751.4</v>
      </c>
      <c r="C49" s="165">
        <v>468.9</v>
      </c>
      <c r="D49" s="172">
        <v>454.9</v>
      </c>
      <c r="E49" s="167">
        <v>33.6</v>
      </c>
      <c r="F49" s="168">
        <v>22.7</v>
      </c>
      <c r="G49" s="173">
        <f t="shared" si="0"/>
        <v>1731.5</v>
      </c>
    </row>
    <row r="50" spans="1:7" s="170" customFormat="1" ht="15">
      <c r="A50" s="171" t="s">
        <v>309</v>
      </c>
      <c r="B50" s="164">
        <v>2446.3</v>
      </c>
      <c r="C50" s="165">
        <v>1739.3</v>
      </c>
      <c r="D50" s="172">
        <v>554.3</v>
      </c>
      <c r="E50" s="167">
        <v>47.7</v>
      </c>
      <c r="F50" s="168">
        <v>86.7</v>
      </c>
      <c r="G50" s="173">
        <f t="shared" si="0"/>
        <v>4874.3</v>
      </c>
    </row>
    <row r="51" spans="1:7" s="170" customFormat="1" ht="15">
      <c r="A51" s="171" t="s">
        <v>310</v>
      </c>
      <c r="B51" s="164">
        <v>1307.4</v>
      </c>
      <c r="C51" s="165">
        <v>273.5</v>
      </c>
      <c r="D51" s="172">
        <v>432.6</v>
      </c>
      <c r="E51" s="167">
        <v>30.3</v>
      </c>
      <c r="F51" s="168">
        <v>72</v>
      </c>
      <c r="G51" s="173">
        <f t="shared" si="0"/>
        <v>2115.8</v>
      </c>
    </row>
    <row r="52" spans="1:7" s="170" customFormat="1" ht="15">
      <c r="A52" s="171" t="s">
        <v>311</v>
      </c>
      <c r="B52" s="164">
        <v>790.3</v>
      </c>
      <c r="C52" s="165">
        <v>227</v>
      </c>
      <c r="D52" s="172">
        <v>171.9</v>
      </c>
      <c r="E52" s="167">
        <v>20.9</v>
      </c>
      <c r="F52" s="168">
        <v>25.3</v>
      </c>
      <c r="G52" s="173">
        <f t="shared" si="0"/>
        <v>1235.3999999999999</v>
      </c>
    </row>
    <row r="53" spans="1:7" s="170" customFormat="1" ht="15">
      <c r="A53" s="171" t="s">
        <v>312</v>
      </c>
      <c r="B53" s="164">
        <v>620.3</v>
      </c>
      <c r="C53" s="165">
        <v>415.2</v>
      </c>
      <c r="D53" s="172">
        <v>293.3</v>
      </c>
      <c r="E53" s="167">
        <v>24.6</v>
      </c>
      <c r="F53" s="168">
        <v>43.1</v>
      </c>
      <c r="G53" s="173">
        <f t="shared" si="0"/>
        <v>1396.5</v>
      </c>
    </row>
    <row r="54" spans="1:7" s="170" customFormat="1" ht="15.75" thickBot="1">
      <c r="A54" s="175" t="s">
        <v>313</v>
      </c>
      <c r="B54" s="176"/>
      <c r="C54" s="177"/>
      <c r="D54" s="178"/>
      <c r="E54" s="179">
        <v>19577.6</v>
      </c>
      <c r="F54" s="180"/>
      <c r="G54" s="173">
        <f t="shared" si="0"/>
        <v>19577.6</v>
      </c>
    </row>
    <row r="55" spans="1:7" s="188" customFormat="1" ht="15.75" thickBot="1">
      <c r="A55" s="181" t="s">
        <v>314</v>
      </c>
      <c r="B55" s="182">
        <f aca="true" t="shared" si="1" ref="B55:G55">SUM(B9:B54)</f>
        <v>109142.1</v>
      </c>
      <c r="C55" s="183">
        <f t="shared" si="1"/>
        <v>183652.40000000002</v>
      </c>
      <c r="D55" s="184">
        <f t="shared" si="1"/>
        <v>14616.400000000001</v>
      </c>
      <c r="E55" s="185">
        <f t="shared" si="1"/>
        <v>45541.09999999999</v>
      </c>
      <c r="F55" s="186">
        <f t="shared" si="1"/>
        <v>5160.2</v>
      </c>
      <c r="G55" s="187">
        <f t="shared" si="1"/>
        <v>358112.19999999995</v>
      </c>
    </row>
    <row r="56" ht="12.75">
      <c r="A56" s="189"/>
    </row>
    <row r="57" ht="12.75">
      <c r="A57" s="189"/>
    </row>
    <row r="58" ht="12.75">
      <c r="A58" s="189"/>
    </row>
    <row r="59" ht="12.75">
      <c r="A59" s="189"/>
    </row>
    <row r="60" ht="12.75">
      <c r="A60" s="189"/>
    </row>
    <row r="61" ht="12.75">
      <c r="A61" s="189"/>
    </row>
    <row r="62" ht="12.75">
      <c r="A62" s="189"/>
    </row>
    <row r="63" ht="12.75">
      <c r="A63" s="189"/>
    </row>
    <row r="64" ht="12.75">
      <c r="A64" s="189"/>
    </row>
    <row r="65" ht="12.75">
      <c r="A65" s="189"/>
    </row>
    <row r="66" ht="12.75">
      <c r="A66" s="189"/>
    </row>
    <row r="67" ht="12.75">
      <c r="A67" s="189"/>
    </row>
    <row r="68" ht="12.75">
      <c r="A68" s="189"/>
    </row>
    <row r="69" ht="12.75">
      <c r="A69" s="170"/>
    </row>
    <row r="70" ht="12.75">
      <c r="A70" s="170"/>
    </row>
    <row r="71" ht="12.75">
      <c r="A71" s="170"/>
    </row>
    <row r="72" ht="12.75">
      <c r="A72" s="170"/>
    </row>
    <row r="73" ht="12.75">
      <c r="A73" s="170"/>
    </row>
    <row r="74" ht="12.75">
      <c r="A74" s="170"/>
    </row>
    <row r="75" ht="12.75">
      <c r="A75" s="170"/>
    </row>
    <row r="76" ht="12.75">
      <c r="A76" s="170"/>
    </row>
    <row r="77" ht="12.75">
      <c r="A77" s="170"/>
    </row>
    <row r="78" ht="12.75">
      <c r="A78" s="170"/>
    </row>
    <row r="79" ht="12.75">
      <c r="A79" s="170"/>
    </row>
    <row r="80" ht="12.75">
      <c r="A80" s="170"/>
    </row>
    <row r="81" ht="12.75">
      <c r="A81" s="170"/>
    </row>
    <row r="82" ht="12.75">
      <c r="A82" s="170"/>
    </row>
    <row r="83" ht="12.75">
      <c r="A83" s="170"/>
    </row>
    <row r="84" ht="12.75">
      <c r="A84" s="170"/>
    </row>
    <row r="85" ht="12.75">
      <c r="A85" s="170"/>
    </row>
    <row r="86" ht="12.75">
      <c r="A86" s="170"/>
    </row>
    <row r="87" ht="12.75">
      <c r="A87" s="170"/>
    </row>
    <row r="88" ht="12.75">
      <c r="A88" s="170"/>
    </row>
    <row r="89" ht="12.75">
      <c r="A89" s="170"/>
    </row>
    <row r="90" ht="12.75">
      <c r="A90" s="170"/>
    </row>
    <row r="91" ht="12.75">
      <c r="A91" s="170"/>
    </row>
    <row r="92" ht="12.75">
      <c r="A92" s="170"/>
    </row>
    <row r="93" ht="12.75">
      <c r="A93" s="170"/>
    </row>
    <row r="94" ht="12.75">
      <c r="A94" s="170"/>
    </row>
    <row r="95" ht="12.75">
      <c r="A95" s="170"/>
    </row>
  </sheetData>
  <mergeCells count="9">
    <mergeCell ref="A4:G4"/>
    <mergeCell ref="A6:A8"/>
    <mergeCell ref="B6:G6"/>
    <mergeCell ref="B7:B8"/>
    <mergeCell ref="C7:C8"/>
    <mergeCell ref="D7:D8"/>
    <mergeCell ref="E7:E8"/>
    <mergeCell ref="F7:F8"/>
    <mergeCell ref="G7:G8"/>
  </mergeCells>
  <printOptions/>
  <pageMargins left="0.62" right="0.49" top="0.2" bottom="0.45" header="0.14" footer="0.3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Алексеева Ольга Александровна</dc:creator>
  <cp:keywords/>
  <dc:description/>
  <cp:lastModifiedBy>Brat</cp:lastModifiedBy>
  <cp:lastPrinted>2003-01-16T00:57:43Z</cp:lastPrinted>
  <dcterms:created xsi:type="dcterms:W3CDTF">2001-12-20T09:20:24Z</dcterms:created>
  <dcterms:modified xsi:type="dcterms:W3CDTF">2003-01-16T00:59:13Z</dcterms:modified>
  <cp:category/>
  <cp:version/>
  <cp:contentType/>
  <cp:contentStatus/>
</cp:coreProperties>
</file>