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11" yWindow="90" windowWidth="11280" windowHeight="6885" activeTab="6"/>
  </bookViews>
  <sheets>
    <sheet name="№1" sheetId="1" r:id="rId1"/>
    <sheet name="№2" sheetId="2" r:id="rId2"/>
    <sheet name="№3 " sheetId="3" r:id="rId3"/>
    <sheet name="№4" sheetId="4" r:id="rId4"/>
    <sheet name="№5" sheetId="5" r:id="rId5"/>
    <sheet name="№6" sheetId="6" r:id="rId6"/>
    <sheet name="№7" sheetId="7" r:id="rId7"/>
    <sheet name="Лист2" sheetId="8" r:id="rId8"/>
  </sheets>
  <definedNames>
    <definedName name="_xlnm.Print_Area" localSheetId="1">'№2'!$A$1:$K$99</definedName>
    <definedName name="_xlnm.Print_Area" localSheetId="2">'№3 '!$A$1:$K$148</definedName>
    <definedName name="_xlnm.Print_Area" localSheetId="3">'№4'!$A$1:$N$58</definedName>
    <definedName name="_xlnm.Print_Area" localSheetId="4">'№5'!$A$1:$D$22</definedName>
    <definedName name="_xlnm.Print_Area" localSheetId="6">'№7'!$A$1:$J$60</definedName>
  </definedNames>
  <calcPr fullCalcOnLoad="1"/>
</workbook>
</file>

<file path=xl/sharedStrings.xml><?xml version="1.0" encoding="utf-8"?>
<sst xmlns="http://schemas.openxmlformats.org/spreadsheetml/2006/main" count="744" uniqueCount="452">
  <si>
    <t xml:space="preserve">Субвенция из государственного бюджета местным бюджетам предоставление льгот ветеранам войны и труда, ветеранам воинской службы, ветеранам органов внутренних дел, ветеранам государственной пожарной охраны, вдовам ветеранов воинской службы и органов внутренних дел и государственной пожарной охраны, а также уволенным со службы по возрасту, болезни или выслугой лет военнослужащим Службы безопасности, работникам милиции, лицам рядового и руководящего состава налоговой милиции, рядового и руководящего состава криминально-исполнительной системы, государственной пожарной охраны, детям (до достижения совершеннолетия) </t>
  </si>
  <si>
    <t xml:space="preserve">Субвенция из государственного бюджета местным бюджетам yна предоставление льгот ветеранам войны и труда, ветеранам воинской службы, ветеранам органов внутренних дел, ветеранам государственной пожарной охраны, вдовам ветеранов воинской службы и органов внутренних дел и государственной пожарной охраны, а также уволенным со службы по возрасту, болезни или выслугой лет военнослужащим Службы безопасности, работникам милиции, лицам рядового и руководящего состава налоговой милиции, рядового и руководящего состава криминально-исполнительной системы, государственной пожарной охраны, детям (до достижения совершеннолетия) </t>
  </si>
  <si>
    <t>от 28.12.2004 № 4/24-555</t>
  </si>
  <si>
    <t>Приложение 5</t>
  </si>
  <si>
    <t xml:space="preserve"> к решению областного совета </t>
  </si>
  <si>
    <t xml:space="preserve">Субвенция из областного бюджета бюджетам городов и районов </t>
  </si>
  <si>
    <t>Сумма</t>
  </si>
  <si>
    <t>Направление использования</t>
  </si>
  <si>
    <t>г.Донецк</t>
  </si>
  <si>
    <t>социально-экономическое развитие</t>
  </si>
  <si>
    <t>г.Артемовск</t>
  </si>
  <si>
    <t>г.Димитрово</t>
  </si>
  <si>
    <t>г.Константиновка</t>
  </si>
  <si>
    <t>г.Краматорск</t>
  </si>
  <si>
    <t>г.Красный Лиман</t>
  </si>
  <si>
    <t>г.Славянск</t>
  </si>
  <si>
    <t>Артемовский район</t>
  </si>
  <si>
    <t>Великоновоселковский район</t>
  </si>
  <si>
    <t>Володарский район</t>
  </si>
  <si>
    <t>Марьинский район</t>
  </si>
  <si>
    <t xml:space="preserve">Всего </t>
  </si>
  <si>
    <t>Отдел по вопросам туризма и курортов</t>
  </si>
  <si>
    <t>Капитальніе вложения</t>
  </si>
  <si>
    <t>Государственный архив области</t>
  </si>
  <si>
    <t>210000</t>
  </si>
  <si>
    <t>Наименование</t>
  </si>
  <si>
    <t>Специальный фонд</t>
  </si>
  <si>
    <t>приобретение жилья для многодетной семьи Ткаленко А.Н.</t>
  </si>
  <si>
    <t>грн.</t>
  </si>
  <si>
    <t>Димитров</t>
  </si>
  <si>
    <t xml:space="preserve">Амвросиевский </t>
  </si>
  <si>
    <t xml:space="preserve">Артемовский </t>
  </si>
  <si>
    <t xml:space="preserve">Великоновоселковский </t>
  </si>
  <si>
    <t xml:space="preserve">Волновахский </t>
  </si>
  <si>
    <t xml:space="preserve">Володарский </t>
  </si>
  <si>
    <t xml:space="preserve">Добропольский </t>
  </si>
  <si>
    <t xml:space="preserve">Красноармейский </t>
  </si>
  <si>
    <t xml:space="preserve">Марьинский </t>
  </si>
  <si>
    <t xml:space="preserve">Новоазовский </t>
  </si>
  <si>
    <t xml:space="preserve">Александровский </t>
  </si>
  <si>
    <t xml:space="preserve">Першотравневый </t>
  </si>
  <si>
    <t xml:space="preserve">Славянский </t>
  </si>
  <si>
    <t xml:space="preserve">Старобешевский </t>
  </si>
  <si>
    <t xml:space="preserve">Тельмановский </t>
  </si>
  <si>
    <t xml:space="preserve">Шахтерский </t>
  </si>
  <si>
    <t xml:space="preserve">Ясиноватский </t>
  </si>
  <si>
    <t>Всего по бюджетам районов</t>
  </si>
  <si>
    <t>Наименование программ</t>
  </si>
  <si>
    <t>Главный распорядитель</t>
  </si>
  <si>
    <t>КФК расходов</t>
  </si>
  <si>
    <t>Управление здравоохранения</t>
  </si>
  <si>
    <t>Обеспечение слуховыми аппаратами льготной категории граждан</t>
  </si>
  <si>
    <t>Обеспечение медикаментами льготной категории граждан</t>
  </si>
  <si>
    <t>Приложение7</t>
  </si>
  <si>
    <t>№п\п</t>
  </si>
  <si>
    <t>Внутреннее финансирование</t>
  </si>
  <si>
    <t>Финансирование за счет изменения остатков средств местных бюджетов</t>
  </si>
  <si>
    <t>На начало периода</t>
  </si>
  <si>
    <t>Приложение 6</t>
  </si>
  <si>
    <t>дох</t>
  </si>
  <si>
    <t>прил2</t>
  </si>
  <si>
    <t xml:space="preserve">от </t>
  </si>
  <si>
    <t>от</t>
  </si>
  <si>
    <t xml:space="preserve"> от</t>
  </si>
  <si>
    <t>Финансирование областного бюджета на 2005 год</t>
  </si>
  <si>
    <t>Другие программы социальной защиты несовешеннолетних</t>
  </si>
  <si>
    <t>090802</t>
  </si>
  <si>
    <t>Подготовка материалов к своду "Памятники истории и культуры Донецкой области"</t>
  </si>
  <si>
    <t>180107</t>
  </si>
  <si>
    <t>Финансирование энергосберегающих мероприятий</t>
  </si>
  <si>
    <t>200700</t>
  </si>
  <si>
    <t>Прочие природоохранные мероприятия</t>
  </si>
  <si>
    <t>Реализация государственных программ и обласных мероприятий</t>
  </si>
  <si>
    <t>Субвенция из государственного бюджета местным бюджетам на предоставление  льгот ветеранам войны и труда, ветеранам воинской службы, ветеранам органов внутренних дел, ветеранам государственной пожарной охраны,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по услугам связи и прочих, предусмотренных законодательством льгот (кроме льгот на получение лекарств, зубопротезирование, оплату электроэнергии, природного и сжиженного газа, твердого и жидкого печного бытового топлива, услуг тепло-, водоснабжения и водоотведения, квартирной платы, вывозу жидких нечистот) и компенсацию за льготный проезд  отдельных категорий граждан</t>
  </si>
  <si>
    <t xml:space="preserve">Субвенция из государственного бюджета местным бюджетам на предоставление льгот ветеранам войны и труда, ветеранам воинской службы, ветеранам органов внутренних дел, ветеранам государственной пожарной охраны, вдовам ветеранов воинской службы и органов внутренних дел и государственной пожарной охраны, а также уволенным со службы по возрасту, болезни или выслугой лет военнослужащим Службы безопасности, работникам милиции, лицам рядового и руководящего состава налоговой милиции, рядового и руководящего состава криминально-исполнительной системы, государственной пожарной охраны, детям (до достижения совершеннолетия) </t>
  </si>
  <si>
    <t>Распределение между бюджетами городов областного значения и районов области объёмов межбюджетных трансфертов из государственного бюджета, предусмотренных приложением № 7 проекта Закона Украины "О Государственном бюджете Украины на 2005 год", принятым Верховной Радой Украины в целом 23.12.2004</t>
  </si>
  <si>
    <t>Приложение 2</t>
  </si>
  <si>
    <t>к решению областного совета</t>
  </si>
  <si>
    <t>по функциональной структуре</t>
  </si>
  <si>
    <t>КФКР</t>
  </si>
  <si>
    <t>Расходы бюджета по функциональной структуре</t>
  </si>
  <si>
    <t xml:space="preserve">                Расходы общего фонда</t>
  </si>
  <si>
    <t>Расходы специального фонда</t>
  </si>
  <si>
    <t>ИТОГО</t>
  </si>
  <si>
    <t>Всего</t>
  </si>
  <si>
    <t xml:space="preserve">в том числе </t>
  </si>
  <si>
    <t>в том числе</t>
  </si>
  <si>
    <t>из него региональные программы</t>
  </si>
  <si>
    <t>оплата труда (код 1110)</t>
  </si>
  <si>
    <t>оплата коммунальных услуг и энергонос. (код 1160)</t>
  </si>
  <si>
    <t>другие расходы</t>
  </si>
  <si>
    <t>региональные прог-раммы и централизованные мероприя-тия</t>
  </si>
  <si>
    <t>бюджет развития</t>
  </si>
  <si>
    <t>010000</t>
  </si>
  <si>
    <t>Государственное управление</t>
  </si>
  <si>
    <t>010116</t>
  </si>
  <si>
    <t>Органы местного самоуправления</t>
  </si>
  <si>
    <t>060000</t>
  </si>
  <si>
    <t>Правоохранительная деятельность и обеспечение безопасности государства</t>
  </si>
  <si>
    <t>061007</t>
  </si>
  <si>
    <t>Другие правоохранительные мероприятия и учреждения</t>
  </si>
  <si>
    <t>070000</t>
  </si>
  <si>
    <t>Образование</t>
  </si>
  <si>
    <t>080000</t>
  </si>
  <si>
    <t>Здравоохранение</t>
  </si>
  <si>
    <t>090000</t>
  </si>
  <si>
    <t>Социальная защита и социальное обеспечение</t>
  </si>
  <si>
    <t>090403</t>
  </si>
  <si>
    <t xml:space="preserve">Выплаты компенсаций реабилитированным </t>
  </si>
  <si>
    <t>090412</t>
  </si>
  <si>
    <t>Прочие расходы на социальную защиту населения</t>
  </si>
  <si>
    <t>090413</t>
  </si>
  <si>
    <t>Помощь по уходу за инвалидом I или II группы вследствие психического расстройства</t>
  </si>
  <si>
    <t>091207</t>
  </si>
  <si>
    <t>091209</t>
  </si>
  <si>
    <t>Финансовая поддержка общественных организаций инвалидов и ветеранов</t>
  </si>
  <si>
    <t>091212</t>
  </si>
  <si>
    <t>090700</t>
  </si>
  <si>
    <t>Приюты для несовершеннолетних</t>
  </si>
  <si>
    <t>Жилищно-коммунальное хозяйство</t>
  </si>
  <si>
    <t>Кинематография</t>
  </si>
  <si>
    <t>Средства массовой информации</t>
  </si>
  <si>
    <t>Периодические издания (газеты и журналы)</t>
  </si>
  <si>
    <t>Книгоиздательство</t>
  </si>
  <si>
    <t>Физкультура и спорт</t>
  </si>
  <si>
    <t>Строительство</t>
  </si>
  <si>
    <t>Капитальные вложения</t>
  </si>
  <si>
    <t>Транспорт, дорожное хозяйство, связь, телекоммуникации и информатика</t>
  </si>
  <si>
    <t xml:space="preserve">Расходы на проведение работ, связанных со строительством, реконструкцией, ремонтом и  содержанием автомобильных дорог </t>
  </si>
  <si>
    <t>Программа стабилизации и социально-экономического развития территорий</t>
  </si>
  <si>
    <t>Поддержка малого и среднего предпринимательства</t>
  </si>
  <si>
    <t>Обслуживание долга</t>
  </si>
  <si>
    <t>Целевые фонды</t>
  </si>
  <si>
    <t>Охрана и рациональное использование природных ресурсов</t>
  </si>
  <si>
    <t xml:space="preserve"> Расходы, не отнесенные к основным  группам</t>
  </si>
  <si>
    <t>Резервный фонд</t>
  </si>
  <si>
    <t>Проведение выборов депутатов местных советов</t>
  </si>
  <si>
    <t xml:space="preserve">Прочие расходы  </t>
  </si>
  <si>
    <t>И Т О Г О   Р А С Х О Д О В:</t>
  </si>
  <si>
    <t>Средства, передаваемые из общего фонда бюджета в бюджет развития (специального фонда)</t>
  </si>
  <si>
    <t>В С Е Г О   Р А С Х О Д О В:</t>
  </si>
  <si>
    <t>__________________________</t>
  </si>
  <si>
    <t xml:space="preserve"> </t>
  </si>
  <si>
    <t>Приложение 3</t>
  </si>
  <si>
    <t xml:space="preserve">                               по главным распорядителям средств</t>
  </si>
  <si>
    <t xml:space="preserve">  Название главного распорядителя кредитов</t>
  </si>
  <si>
    <t>региональные программы и централизованные мероприятия</t>
  </si>
  <si>
    <t>Донецкий областной совет</t>
  </si>
  <si>
    <t>070602</t>
  </si>
  <si>
    <t>Прочие расходы</t>
  </si>
  <si>
    <t>250203</t>
  </si>
  <si>
    <t>Главное управление образования и науки</t>
  </si>
  <si>
    <t>Детско-юношеская спортивная школа главного  управления образования и науки</t>
  </si>
  <si>
    <t xml:space="preserve">Управление здравоохранения </t>
  </si>
  <si>
    <t>Библиотеки</t>
  </si>
  <si>
    <t>в т.ч. социальная поддержка учащихся профессионально - технических учебных заведений, студентов высших учебных заведений всех уровней аккредитации из числа детей-сирот и детей, лишённых родительской опеки</t>
  </si>
  <si>
    <t>Помощь по уходу за инвалидами I или II группы вследствие психического расстройства</t>
  </si>
  <si>
    <t xml:space="preserve">Служба по делам несовершеннолетних </t>
  </si>
  <si>
    <t xml:space="preserve">Управление жилищно-коммунального хозяйства </t>
  </si>
  <si>
    <t>110200  110500</t>
  </si>
  <si>
    <t>Донецкое областное производственное объединение "Киновидеопрокат"</t>
  </si>
  <si>
    <t xml:space="preserve">Управление по делам прессы и информации </t>
  </si>
  <si>
    <t xml:space="preserve">Редакционная группа "Реабилитированные историей" </t>
  </si>
  <si>
    <t xml:space="preserve">Управление по вопросам физической культуры и спорта </t>
  </si>
  <si>
    <t xml:space="preserve">Главное управление экономики </t>
  </si>
  <si>
    <t>Главное финансовое управление</t>
  </si>
  <si>
    <t>200200</t>
  </si>
  <si>
    <t>Охрана и рациональное использование земель</t>
  </si>
  <si>
    <t>090411</t>
  </si>
  <si>
    <t>Субвенции общего фонда:</t>
  </si>
  <si>
    <t>в т.ч.</t>
  </si>
  <si>
    <t>компенсация за льготный проезд в городском и пригородном электро- и автотранспорте отдельных категорий граждан</t>
  </si>
  <si>
    <t>льготы на услуги связи</t>
  </si>
  <si>
    <t>воздуш-ным транс-портом</t>
  </si>
  <si>
    <t>железно-дорожным транспор-том</t>
  </si>
  <si>
    <t>Авдеевка</t>
  </si>
  <si>
    <t>Артемовск</t>
  </si>
  <si>
    <t>Горловка</t>
  </si>
  <si>
    <t>Дебальцево</t>
  </si>
  <si>
    <t>Дзержинск</t>
  </si>
  <si>
    <t>Димитрово</t>
  </si>
  <si>
    <t>Доброполье</t>
  </si>
  <si>
    <t>Докучаевск</t>
  </si>
  <si>
    <t>Донецк</t>
  </si>
  <si>
    <t>Дружковка</t>
  </si>
  <si>
    <t>Енакиево</t>
  </si>
  <si>
    <t>Ждановка</t>
  </si>
  <si>
    <t>Константиновка</t>
  </si>
  <si>
    <t>Краматорск</t>
  </si>
  <si>
    <t>Красноармейск</t>
  </si>
  <si>
    <t>Красный Лиман</t>
  </si>
  <si>
    <t>Макеевка</t>
  </si>
  <si>
    <t>Мариуполь</t>
  </si>
  <si>
    <t>Новогродовка</t>
  </si>
  <si>
    <t>Селидово</t>
  </si>
  <si>
    <t>Славянск</t>
  </si>
  <si>
    <t>Снежное</t>
  </si>
  <si>
    <t>Торез</t>
  </si>
  <si>
    <t>Угледар</t>
  </si>
  <si>
    <t>Харцизск</t>
  </si>
  <si>
    <t>Шахтерск</t>
  </si>
  <si>
    <t>Ясиноватая</t>
  </si>
  <si>
    <t>Александровский</t>
  </si>
  <si>
    <t>Амвросиевский</t>
  </si>
  <si>
    <t>Артемовский</t>
  </si>
  <si>
    <t>В-Новоселковский</t>
  </si>
  <si>
    <t>Волновахский</t>
  </si>
  <si>
    <t>Володарский</t>
  </si>
  <si>
    <t>Добропольский</t>
  </si>
  <si>
    <t>Константиновский</t>
  </si>
  <si>
    <t>Красноармейский</t>
  </si>
  <si>
    <t>Марьинский</t>
  </si>
  <si>
    <t>Новоазовский</t>
  </si>
  <si>
    <t>Першотравневый</t>
  </si>
  <si>
    <t>Славянский</t>
  </si>
  <si>
    <t>Старобешевский</t>
  </si>
  <si>
    <t>Тельмановский</t>
  </si>
  <si>
    <t>Шахтерский</t>
  </si>
  <si>
    <t>Ясиноватский</t>
  </si>
  <si>
    <t>Облбюджет</t>
  </si>
  <si>
    <t>Всего по области</t>
  </si>
  <si>
    <t>240601  240602  240603  240604  240605</t>
  </si>
  <si>
    <t>Приложение 1</t>
  </si>
  <si>
    <t>Код</t>
  </si>
  <si>
    <t>Наименование доходов в соответствии с  бюджетной классификацией</t>
  </si>
  <si>
    <t>Общий фонд</t>
  </si>
  <si>
    <t>в т.ч. бюджет развития</t>
  </si>
  <si>
    <t>6=(гр.3+гр.4)</t>
  </si>
  <si>
    <t>Налоговые поступления</t>
  </si>
  <si>
    <t>Х</t>
  </si>
  <si>
    <t>Налоги на доходы, налоги на прибыль, налоги на увеличение рыночной стоимости</t>
  </si>
  <si>
    <t>Налог с доходов физических лиц</t>
  </si>
  <si>
    <t>Налог на прибыль предприятий</t>
  </si>
  <si>
    <t xml:space="preserve"> Налог на прибыль предприятий и организаций, которые относятся к коммунальной собственности</t>
  </si>
  <si>
    <t>Налоги на собственность</t>
  </si>
  <si>
    <t>Налог с владельцев транспортных средств и других самоходных машин и механизмов</t>
  </si>
  <si>
    <t xml:space="preserve">Сборы за специальное использование природных ресурсов </t>
  </si>
  <si>
    <t>Плата за землю</t>
  </si>
  <si>
    <t>Внутренние налоги на товары и услуги</t>
  </si>
  <si>
    <t xml:space="preserve">Плата за выдачу лицензий и сертификатов </t>
  </si>
  <si>
    <t>Плата за государственную регистрацию субъектов предпринимательской деятельности</t>
  </si>
  <si>
    <t>Плата за лицензии на право розничной торговли алкогольными напитками и табачными изделиями</t>
  </si>
  <si>
    <t xml:space="preserve">Плата за торговый патент на некоторые виды                                                                                                                             предпринимательской деятельности </t>
  </si>
  <si>
    <t>Плата за приобретение торговых патентов пунктами продажи нефтепродуктов (автозаправочными станциями, заправочными пунктами)</t>
  </si>
  <si>
    <t>Неналоговые поступления</t>
  </si>
  <si>
    <t>Доходы от собственности и предпринимательской деятельности</t>
  </si>
  <si>
    <t>Поступление средств от возмещения потерь сельскохозяйственного и лесохозяйственного производства</t>
  </si>
  <si>
    <t>Административные сборы и платежи, доходы от некоммерческой  и побочной продажи</t>
  </si>
  <si>
    <t>Поступления от штрафов и финансовых санкций</t>
  </si>
  <si>
    <t>Административные штрафы и другие санкции</t>
  </si>
  <si>
    <t>Другие неналоговые поступления</t>
  </si>
  <si>
    <t>Другие поступления</t>
  </si>
  <si>
    <t>Собственные поступления бюджетных учреждений</t>
  </si>
  <si>
    <t xml:space="preserve">Поступления от приватизации имущества, которое принадлежит  Автономной Республике Крым и имущества, которое находится в коммунальной собственности </t>
  </si>
  <si>
    <t>Сбор за загрязнение окружающей природной среды</t>
  </si>
  <si>
    <t>Итого доходов</t>
  </si>
  <si>
    <t>Официальные трансферты</t>
  </si>
  <si>
    <t>Субвенции</t>
  </si>
  <si>
    <t>Средства, полученные из общего  фонда бюджета   в бюджет развития (специального фонда)</t>
  </si>
  <si>
    <t>Всего доходов</t>
  </si>
  <si>
    <t>Перечисление предпринимателями части стоимости нестандартной продукции, изготовленной по разрешению на временное отклонение от требований соответствующих стандартов качества продукции, выданного Государственным комитетом Украины по стандартизации, метроло</t>
  </si>
  <si>
    <t>Поступления сумм кредиторской и депонентской задолженности  предприятий, организаций и учреждений, по которым истек срок исковой давности</t>
  </si>
  <si>
    <t>Прочие субвенции</t>
  </si>
  <si>
    <t>тыс.грн.</t>
  </si>
  <si>
    <t>Управление по вопросам чрезвычайных ситуаций и по делам защиты населения от последствий Чернобыльской катастрофы</t>
  </si>
  <si>
    <t>Главное управление промышленности, транспорта и связи</t>
  </si>
  <si>
    <t>О70601</t>
  </si>
  <si>
    <t>Средства на обеспечение бытовым углем отдельных категорий населения</t>
  </si>
  <si>
    <t>090416</t>
  </si>
  <si>
    <t>Прочие расходы на социальную защиту ветеранов войны и труда</t>
  </si>
  <si>
    <t>090601</t>
  </si>
  <si>
    <t>Дома-интернаты для малолетних инвалидов</t>
  </si>
  <si>
    <t>090901</t>
  </si>
  <si>
    <t>Дома-интернаты (пансионаты) для престарелых и инвалидов системы социальной защиты</t>
  </si>
  <si>
    <t>091101</t>
  </si>
  <si>
    <t>Содержание центров социальных служб для молодежи</t>
  </si>
  <si>
    <t>091102</t>
  </si>
  <si>
    <t>Программы и мероприятия центров социальных служб для молодежи</t>
  </si>
  <si>
    <t>091103</t>
  </si>
  <si>
    <t xml:space="preserve"> Социальные программы и мероприятия государственных органов по делам молодежи</t>
  </si>
  <si>
    <t>091104</t>
  </si>
  <si>
    <t>Социальные программы и мероприятия государственных органов по делам женщин</t>
  </si>
  <si>
    <t>091105</t>
  </si>
  <si>
    <t>Содержание подростковых клубов по месту проживания</t>
  </si>
  <si>
    <t>091106</t>
  </si>
  <si>
    <t xml:space="preserve">Прочие расходы </t>
  </si>
  <si>
    <t>091107</t>
  </si>
  <si>
    <t>Социальные программы и мероприятия государственных органов по делам семьи</t>
  </si>
  <si>
    <t>Льготы, предоставляемые населению (кроме ветеранов войны и труда, воинской службы, органов внутренних дел и граждан, пострадавших вследствие Чернобыльской катастрофы) на оплату жилищно-коммунальных услуг и природного газа</t>
  </si>
  <si>
    <t>091210</t>
  </si>
  <si>
    <t>Службы технического надзора за строительством и капитальным ремонтом</t>
  </si>
  <si>
    <t>091211</t>
  </si>
  <si>
    <t>Централизованные бухгалтерии</t>
  </si>
  <si>
    <t>Обработка информации по начислению и выплате пособий и компенсаций</t>
  </si>
  <si>
    <t>100105</t>
  </si>
  <si>
    <t>в т.ч. расходы на содержание объектов социальной сферы предприятий, которые передаются в коммунальную собственность</t>
  </si>
  <si>
    <t>Культура и искусство, в том числе</t>
  </si>
  <si>
    <t>110102</t>
  </si>
  <si>
    <t>Театры</t>
  </si>
  <si>
    <t>110103</t>
  </si>
  <si>
    <t>Филармонии, музыкальные коллективы и ансамбли  и прочие мероприятия и учреждения по искусству</t>
  </si>
  <si>
    <t>150107</t>
  </si>
  <si>
    <t>Строительство и приобретение жилья военнослужащим, лицам рядового и руководящего состава криминально-исполнительной системы и органов внутренних дел, в том числе уволенным в запас или отставку по состоянию здоровья, возрасту,выслугой лет и в связи с сокра</t>
  </si>
  <si>
    <t>150118</t>
  </si>
  <si>
    <t xml:space="preserve">Жилищное строительство и приобретение жилья для отдельных категорий населения  </t>
  </si>
  <si>
    <t>150119</t>
  </si>
  <si>
    <t>Проведение неотложных восстановительных работ, строительство и реконструкция в медицинских учреждениях</t>
  </si>
  <si>
    <t>150120</t>
  </si>
  <si>
    <t>Строительство метрополитена</t>
  </si>
  <si>
    <t>150122</t>
  </si>
  <si>
    <t>Инвестиционные проекты</t>
  </si>
  <si>
    <t>170603</t>
  </si>
  <si>
    <t>Прочие мероприятия в сфере электротранспорта</t>
  </si>
  <si>
    <t>Расходы на проведение работ, связанных со строительством, реконструкцией, ремонтом и  содержанием автомобильных дорог</t>
  </si>
  <si>
    <t>180409</t>
  </si>
  <si>
    <t>Взносы органов власти Автономной Республики Крым и органов местного самоуправления в уставные фонды субъектов предпринимательской деятельности</t>
  </si>
  <si>
    <t>Предупреждение и ликвидация чрезвычайных ситуаций и последствий стихийного бедствия</t>
  </si>
  <si>
    <t>Проведение выборов  депутатов местных советов</t>
  </si>
  <si>
    <t>250205</t>
  </si>
  <si>
    <t>Проведение референдумов</t>
  </si>
  <si>
    <t>250309</t>
  </si>
  <si>
    <t>Средства, передаваемые по взаимным расчетам между местными бюджетами</t>
  </si>
  <si>
    <t>250403</t>
  </si>
  <si>
    <t>Расходы на покрытие прочих задолженостей возникших в предыдущие годы</t>
  </si>
  <si>
    <t>250313</t>
  </si>
  <si>
    <t>Дополнительная дотация из государственного бюджета бюджету Автономной Республики Крым и областным бюджетам на уменьшение фактичесих диспропорций между местными бюджетами в связи с неравномерностью сети бюджетных учреждений</t>
  </si>
  <si>
    <t>250316</t>
  </si>
  <si>
    <t>Дополнительная дотация из государственного бюджета местным бюджетам, которая связана с выполнением годовых расчетных объемов доходов, определенных приложением 5 к Закону Украины «О Государственном бюджете Украины на 2004 год» , и расчетных объемов акцизно</t>
  </si>
  <si>
    <t>250318</t>
  </si>
  <si>
    <t>Дополнительная дотация из государственного бюджета местным бюджетам на введение с 1 сентября 2004 года минимальной заработной платы в размере 237 грн. на месяц с сохранением действующих соотношений в оплате труда работникам бюджетной сферы</t>
  </si>
  <si>
    <t>Средства, передаваемые в Государственный бюджет из бюджета Автономной Республики Крым, областных и районных бюджетов, городских бюджетов</t>
  </si>
  <si>
    <t>Субвенция из государственного бюджета местным бюджетам на выполнение инвестиционных проектов</t>
  </si>
  <si>
    <t>250326</t>
  </si>
  <si>
    <t>Субвенция из государственного бюджета местным бюджетам на выплату помощи семьям с детьми, малообеспеченным семьям, инвалидам с детства  и детям-инвалидам</t>
  </si>
  <si>
    <t>250328</t>
  </si>
  <si>
    <t>250329</t>
  </si>
  <si>
    <t>250330</t>
  </si>
  <si>
    <t>250359</t>
  </si>
  <si>
    <t>Субвенция из государственного бюджета местным бюджетам  на бесплатное обеспечение углем на бытовые потребности лицам, которые имеют такое право согласно ст.48 Горного закона Украины</t>
  </si>
  <si>
    <t>250367</t>
  </si>
  <si>
    <t>Субвенция из государственного бюджета местным бюджетам на погашение задолженности по льготам населению за предоставленные услуги связи</t>
  </si>
  <si>
    <t>250368</t>
  </si>
  <si>
    <t>Субвенция из государственного бюджета местным бюджетам на выполнение мероприятий по предупреждению аварий и предотвращению техногенных катастроф в жилищно-коммунальном хозяйстве и на прочих аварийных объектах коммунальной собственности</t>
  </si>
  <si>
    <t>250380</t>
  </si>
  <si>
    <t>250342</t>
  </si>
  <si>
    <t>Субвенция из государственного бюджета  местным бюджетам на социально-экономическое развитие соответствующих территорий</t>
  </si>
  <si>
    <t>250372</t>
  </si>
  <si>
    <t>Субвенция из государственного бюджета областному бюджету на передачу в коммунальную собственность объектов социальной инфраструктуры</t>
  </si>
  <si>
    <t>Высшие учреждения образования III и IV уровней аккредитации</t>
  </si>
  <si>
    <t>100206</t>
  </si>
  <si>
    <t>Гостиничное хозяйство</t>
  </si>
  <si>
    <t>130112</t>
  </si>
  <si>
    <t>210105</t>
  </si>
  <si>
    <t>Расходы на предупреждение и ликвидацию чрезвычайных ситуаций и последствий стихийного бедствия</t>
  </si>
  <si>
    <t>Образование (учреждения образования, программы и мероприятия в сфере образования), в том числе:</t>
  </si>
  <si>
    <t>стипендии одаренным учащимся, студентам и аспирантам</t>
  </si>
  <si>
    <t>центр переподготовки и повышения квалификации работников органов государственной власти, органов  местного самоуправления, руководителей государственных предприятий, учреждений и организаций</t>
  </si>
  <si>
    <t>Здравоохранение (содержание лечебно-профилактических учреждений, проведение мероприятий и выполнение программ), в том числе</t>
  </si>
  <si>
    <t>Региональные программы и централизованные мероприятия</t>
  </si>
  <si>
    <t xml:space="preserve">Образование (высшие учреждения образования І-ІІ уровней аккредитации; прочие учреждения и мероприятия последипломного образования) </t>
  </si>
  <si>
    <t>Главное управление труда и социальной защиты населения</t>
  </si>
  <si>
    <t>Управление по делам семьи и молодежи</t>
  </si>
  <si>
    <t>070401</t>
  </si>
  <si>
    <t>Внешкольные учреждения образования, мероприятия по  внешкольной работе с детьми (мероприятия по летнему оздоровлению детей и студентов)</t>
  </si>
  <si>
    <t>Социальные программы и мероприятия государственных органов по делам молодежи</t>
  </si>
  <si>
    <t>110502</t>
  </si>
  <si>
    <t>Другие культурно-образовательные учреждения и мероприятия</t>
  </si>
  <si>
    <t>150101</t>
  </si>
  <si>
    <t>прочие мероприятия в сфере электротранспорта</t>
  </si>
  <si>
    <t>Филармонии, музыкальные коллективы и ансамбли  и прочие меприятия и учреждения по искусству</t>
  </si>
  <si>
    <t xml:space="preserve">Культура                                                                                                                                                            Прочие мероприятия и учреждения в области исскуства и культуры  </t>
  </si>
  <si>
    <t>Образование (высшие учреждения образования І-ІІ уровней аккредитации; прочие учреждения, мероприятия последипломного образования), в том числе</t>
  </si>
  <si>
    <t>стипендии одаренным учащимся и студентам</t>
  </si>
  <si>
    <t>120201</t>
  </si>
  <si>
    <t>Физическая культура и спорт (содержание учреждений физкультуры и спорта, проведение учебно-тренировочных сборов, соревнований и мероприятий)</t>
  </si>
  <si>
    <t>Высшие учреждения образования І-ІІ уровней аккредитации</t>
  </si>
  <si>
    <t>080400</t>
  </si>
  <si>
    <t xml:space="preserve">Строительство и приобретение жилья военнослужащим, лицам рядового и руководящего состава криминально-исполнительной системы и органов внутренних дел, в том числе уволенным в запас или отставку по состоянию здоровья, возрасту,выслугой лет и в связи с сокращением штатов, которые находятся на квартирном учете по месту проживания, членам семей из числа этих лиц, которые погибли во время выполнения ими служебных обязанностей, а также участникам боевых действий в Афганистане и военных конфликтов в зарубежных странах </t>
  </si>
  <si>
    <t>Управление градостроительства и архитектуры</t>
  </si>
  <si>
    <t>Облгосадминистрация</t>
  </si>
  <si>
    <t>180109</t>
  </si>
  <si>
    <t>Дополнительная дотация из государственного бюджета бюджету Автономной Республики Крым и областным бюджетам на уменьшение фактических диспропорций между местными бюджетами в связи с неравномерностью сети бюджетных учреждений</t>
  </si>
  <si>
    <t>Дополнительная дотация из государственного бюджета местным бюджетам, которая связана с выполнением годовых расчетных объемов доходов, определенных приложением 5 к Закону Украины «О Государственном бюджете Украины на 2004 год» , и расчетных объемов акцизного сбора в бюджет Автономной Республики Крым</t>
  </si>
  <si>
    <t>Субвенция из государственного бюджета областному бюджету на социально-экономическое развитие</t>
  </si>
  <si>
    <t>250404</t>
  </si>
  <si>
    <t>Подготовка материалов к издательству 10,11,12 томов книги "Памяти Украины"</t>
  </si>
  <si>
    <t>090417</t>
  </si>
  <si>
    <t>Расходы на захоронение участников бонвых действий</t>
  </si>
  <si>
    <t xml:space="preserve">Специализированные поликлиники                   (врачебно-физкультурный диспансер) </t>
  </si>
  <si>
    <t>250325</t>
  </si>
  <si>
    <t>Субвенция из областного бюджета на содержание приюта для несовершеннолетних</t>
  </si>
  <si>
    <t xml:space="preserve">Строительство и приобретение жилья военнослужащим, лицам рядового и руководящего состава криминально-исполнительной системы и органов внутренних дел, а также участникам боевых действий в Афганистане и военных конфликтов в зарубежных странах </t>
  </si>
  <si>
    <t>Доходы областного бюджета на 2005 год</t>
  </si>
  <si>
    <t xml:space="preserve">  Специальный фонд</t>
  </si>
  <si>
    <t>14060900</t>
  </si>
  <si>
    <t>Плата за государственную регистрацию, кроме платы за регистрацию субъектов предпринимательской деятельности</t>
  </si>
  <si>
    <t xml:space="preserve"> Поступления от размещения  в учреждениях банков временно свободных бюджетных  средств </t>
  </si>
  <si>
    <t xml:space="preserve"> Плата за аренду целостных имущественных комплексов и другого государственного имущества </t>
  </si>
  <si>
    <t>24060800</t>
  </si>
  <si>
    <t>Поступления от сбора за проведение гастрольных мероприятий</t>
  </si>
  <si>
    <t>41021000</t>
  </si>
  <si>
    <t>41021200</t>
  </si>
  <si>
    <t>41021300</t>
  </si>
  <si>
    <t>Дополнительная дотация из государственного бюджета местным бюджетам на повышение стипендии учащимся профессионально-технических и студентам высших учебных заведений в соответствии с Указом Президента Украины от 17.02.2004 № 199</t>
  </si>
  <si>
    <t>41030400</t>
  </si>
  <si>
    <t>41030500</t>
  </si>
  <si>
    <t>Субвенция на выполнение собственных полномочий территориальных громад сел, поселков, городов и их объединений</t>
  </si>
  <si>
    <t>41030600</t>
  </si>
  <si>
    <t>41030800</t>
  </si>
  <si>
    <t>41030900</t>
  </si>
  <si>
    <t>41031000</t>
  </si>
  <si>
    <t xml:space="preserve">Субвенция из государственного бюджета областному бюджету Донецкой области на мероприятия, связанные с завершением реконструкции областной травматологической больницы </t>
  </si>
  <si>
    <t>41033900</t>
  </si>
  <si>
    <t>Субвенция из государственного бюджета местным бюджетам на бесплатное обеспечение углем на бытовые нужды лицам, имеющим такое право согласно статье 48 Горного Закона Украины</t>
  </si>
  <si>
    <t>Субвенция из государственного бюджета местным бюджетам на строительство и приобретение жилья для инвалидов-глухих и инвалидов-слепых</t>
  </si>
  <si>
    <t>41034700</t>
  </si>
  <si>
    <t>41034800</t>
  </si>
  <si>
    <t>41035000</t>
  </si>
  <si>
    <t>41032200</t>
  </si>
  <si>
    <t>Субвенция из государственного бюджета местным бюджетам на социально-экономическое развитие соответствующих территорий</t>
  </si>
  <si>
    <t>41035400</t>
  </si>
  <si>
    <t>Субвенция из государственного бюджета местным бюджетам на передачу в коммунальную собственность объектов социальной инфраструктуры</t>
  </si>
  <si>
    <t>Приложение 4</t>
  </si>
  <si>
    <t>Наименование административно-территориальных единиц</t>
  </si>
  <si>
    <t>Бесплатное обеспечение углем на бытовые потребности лицам, имеющим такое право в соответствии со ст. 48 Горного Закона Украины</t>
  </si>
  <si>
    <t>Субвенция областного бюджета на содержание приютов для несовершеннолетних</t>
  </si>
  <si>
    <t>ВСЕГО</t>
  </si>
  <si>
    <t>Дополнительная дотация из госбюджета на уменьшение фактических диспропорций между местными бюджетами в связи с неравномерностью сети бюджетных учреждений с учётом расходов, которые принимают участие в расчёте межбюджетных трансфертов</t>
  </si>
  <si>
    <t>компенсация за льготный междугородний проезд</t>
  </si>
  <si>
    <t>капитальный ремонт домов (квартир), санаторно-курортное лечение, компенсация расходов на автомобильное топливо, захоронение, сооружение памятников, одноразовая помощь  в случае смерти, компенсация за льготный  междугородний проезд гражданам, которые постр</t>
  </si>
  <si>
    <t>Кировское</t>
  </si>
  <si>
    <t>Расходы на захоронение участников боевых действий</t>
  </si>
  <si>
    <t xml:space="preserve">Управление культуры </t>
  </si>
  <si>
    <t xml:space="preserve">Главное управление капитального строительства </t>
  </si>
  <si>
    <t>Субвенция из государственного бюджета местным бюджетам на строительство и приобретение жилья военнослужащим, лицам рядового и руководящего состава криминально-исполнительной системы и органов внутренних дел, в том числе уволенным в запас или отставку по состоянию здоровья, возраста, выслуги лет и в сявзи с сокращением штатов, которые состоят на квартирном учете по месту жительства, членам семей из числа этих лиц, которые погибли при исполнении служебных обязанностей, а также участникам боевых действий в Афганистане и военных конфликтах в заруб. странах</t>
  </si>
  <si>
    <t xml:space="preserve"> на выплату помощи семьям с детьми, малообеспеченным семьям, инвалидам с детства  и детям-инвалидам</t>
  </si>
  <si>
    <t>Расходы областного бюджета на 2005 год</t>
  </si>
  <si>
    <t xml:space="preserve">              Распределение расходов областного бюджета на 2005 год</t>
  </si>
  <si>
    <t xml:space="preserve">предоставление льгот ветеранам войны и труда, ветеранам воинской службы, ветеранам органов внутренних дел, ветеранам государственной пожарной охраны, вдовам ветеранов воинской службы и органов внутренних дел и государственной пожарной охраны, а также уволенным со службы по возрасту, болезни или выслугой лет военнослужащим Службы безопасности, работникам милиции, лицам рядового и руководящего состава налоговой милиции, рядового и руководящего состава криминально-исполнительной системы, государственной пожарной охраны, детям (до достижения совершеннолетия) </t>
  </si>
  <si>
    <t>работников милиции, лиц руководящего состава налоговой милиции, рядового и руководящего состава криминально-исполнительной системы, государственной пожарной охраны, погибших или умерших в связи с исполнением служебных обязанностей, нетрудоспособным членам семей, находившимся на их содержании, уволенным с военной службы лицам, ставшим инвалидами во время прохождения военной службы, родителям и членам семей военнослужащих, погибших, умерших или ставших инвалидами при прохождении воинской службы,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льгот, предусмотренных пунктом "ї" части первой статьи 77 Основ законодательсьва о здравоохранении, части второй статьи 29 Основ законодательства о культуре, абзацем первым части четвертой статьи 57 Закона Украины "Об образовании"  и жилищных субсидий населению на оплату электроэнергии,</t>
  </si>
  <si>
    <t>природного газа, услуг тепло-, водоснабжения и водоотведения, квартирной платы, вывозу бытового мусора и жидких нечистот</t>
  </si>
  <si>
    <t xml:space="preserve">работников милиции, лиц руководящего состава налоговой милиции, рядового и руководящего состава криминально-исполнительной системы, государственной пожарной охраны, погибших или умерших в связи с исполнением служебных обязанностей, нетрудоспособным членам семей, находившимся на их содержании, уволенным с военной службы лицам, ставшим инвалидами во время прохождения военной службы, родителям и членам семей военнослужащих, погибших, умерших или ставших инвалидами при прохождении воинской службы,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льгот, предусмотренных пунктом "ї" части первой статьи 77 Основ законодательсьва о здравоохранении, части второй статьи 29 Основ законодательства о культуре, абзацем первым части четвертой статьи 57 Закона Украины "Об образовании"  и жилищных субсидий населению </t>
  </si>
  <si>
    <t>на приобретение твердого и жидкого печного бытового топлива и сжиженного газа</t>
  </si>
  <si>
    <t>работников милиции, лиц руководящего состава налоговой милиции, рядового и руководящего состава криминально-исполнительной системы, государственной пожарной охраны, погибших или умерших в связи с исполнением служебных обязанностей, нетрудоспособным членам семей, находившимся на их содержании, уволенным с военной службы лицам, ставшим инвалидами во время прохождения военной службы, родителям и членам семей военнослужащих, погибших, умерших или ставших инвалидами при прохождении воинской службы,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льгот, предусмотренных пунктом "ї" части первой статьи 77 Основ законодательсьва о здравоохранении, части второй статьи 29 Основ законодательства о культуре, абзацем первым части четвертой статьи 57 Закона Украины "Об образовании"  и жилищных субсидий населению на оплату электроэнергии, природного газа, услуг тепло-, водоснабжения и водоотведения, квартирной платы, вывозу бытового мусора и жидких нечистот</t>
  </si>
  <si>
    <t>работников милиции, лиц руководящего состава налоговой милиции, рядового и руководящего состава криминально-исполнительной системы, государственной пожарной охраны, погибших или умерших в связи с исполнением служебных обязанностей, нетрудоспособным членам семей, находившимся на их содержании, уволенным с военной службы лицам, ставшим инвалидами во время прохождения военной службы, родителям и членам семей военнослужащих, погибших, умерших или ставших инвалидами при прохождении воинской службы,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льгот, предусмотренных пунктом "ї" части первой статьи 77 Основ законодательсьва о здравоохранении, части второй статьи 29 Основ законодательства о культуре, абзацем первым части четвертой статьи 57 Закона Украины "Об образовании"  и жилищных субсидий населению на приобретение твердого и жидкого печного бытового топлива и сжиженного газа</t>
  </si>
  <si>
    <t>предоставление  льгот ветеранам войны и труда, ветеранам воинской службы, ветеранам органов внутренних дел, ветеранам государственной пожарной охраны, реабилитированным гражданам, которые стали инвалидами вследствие репрессий или являются пенсионерами, гражданам, пострадавшим вследствие Чернобыльской катастрофы по услугам связи и прочих, предусмотренных законодательством льгот (кроме льгот на получение лекарств, зубопротезирование, оплату электроэнергии, природного и сжиженного газа, твердого и жидкого печного бытового топлива, услуг тепло-, водоснабжения и водоотведения, квартирной платы, вывозу жидких нечистот) и компенсацию за льготный проезд  отдельных категорий граждан</t>
  </si>
  <si>
    <t xml:space="preserve">Объем средств субвенций, передаваемых областному бюджету  бюджетами городов областного значения и районными бюджетами на выполнение региональных программ и совместных мероприятий </t>
  </si>
  <si>
    <t>Профилактика ВИЧ-инфекции\СПИДа</t>
  </si>
  <si>
    <t>Харцызск</t>
  </si>
  <si>
    <t>Всего по бюджетам городов</t>
  </si>
  <si>
    <t xml:space="preserve">Константиновский </t>
  </si>
  <si>
    <t>Всего по бюджетам</t>
  </si>
</sst>
</file>

<file path=xl/styles.xml><?xml version="1.0" encoding="utf-8"?>
<styleSheet xmlns="http://schemas.openxmlformats.org/spreadsheetml/2006/main">
  <numFmts count="31">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_ ;[Red]\-#,##0.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00"/>
    <numFmt numFmtId="180" formatCode="#,##0.000"/>
    <numFmt numFmtId="181" formatCode="#,##0.0000"/>
    <numFmt numFmtId="182" formatCode="#,##0.000000"/>
    <numFmt numFmtId="183" formatCode="0.0%"/>
    <numFmt numFmtId="184" formatCode="0.0000"/>
    <numFmt numFmtId="185" formatCode="0.00000"/>
    <numFmt numFmtId="186" formatCode="0.000"/>
  </numFmts>
  <fonts count="17">
    <font>
      <sz val="10"/>
      <name val="Arial Cyr"/>
      <family val="0"/>
    </font>
    <font>
      <sz val="10"/>
      <name val="Times New Roman"/>
      <family val="1"/>
    </font>
    <font>
      <b/>
      <sz val="12"/>
      <name val="Times New Roman"/>
      <family val="1"/>
    </font>
    <font>
      <b/>
      <sz val="10"/>
      <name val="Times New Roman"/>
      <family val="1"/>
    </font>
    <font>
      <sz val="9"/>
      <name val="Times New Roman"/>
      <family val="1"/>
    </font>
    <font>
      <sz val="11"/>
      <name val="Times New Roman"/>
      <family val="1"/>
    </font>
    <font>
      <b/>
      <sz val="10"/>
      <name val="Arial Cyr"/>
      <family val="0"/>
    </font>
    <font>
      <b/>
      <sz val="9"/>
      <name val="Times New Roman"/>
      <family val="1"/>
    </font>
    <font>
      <sz val="8"/>
      <name val="Arial Cyr"/>
      <family val="0"/>
    </font>
    <font>
      <b/>
      <sz val="11"/>
      <name val="Times New Roman"/>
      <family val="1"/>
    </font>
    <font>
      <sz val="10"/>
      <color indexed="8"/>
      <name val="Times New Roman"/>
      <family val="1"/>
    </font>
    <font>
      <b/>
      <sz val="10"/>
      <color indexed="8"/>
      <name val="Times New Roman"/>
      <family val="1"/>
    </font>
    <font>
      <u val="single"/>
      <sz val="7.5"/>
      <color indexed="12"/>
      <name val="Arial Cyr"/>
      <family val="0"/>
    </font>
    <font>
      <u val="single"/>
      <sz val="7.5"/>
      <color indexed="36"/>
      <name val="Arial Cyr"/>
      <family val="0"/>
    </font>
    <font>
      <b/>
      <sz val="14"/>
      <name val="Times New Roman"/>
      <family val="1"/>
    </font>
    <font>
      <sz val="12"/>
      <name val="Times New Roman"/>
      <family val="1"/>
    </font>
    <font>
      <b/>
      <sz val="13"/>
      <name val="Times New Roman"/>
      <family val="1"/>
    </font>
  </fonts>
  <fills count="3">
    <fill>
      <patternFill/>
    </fill>
    <fill>
      <patternFill patternType="gray125"/>
    </fill>
    <fill>
      <patternFill patternType="solid">
        <fgColor indexed="13"/>
        <bgColor indexed="64"/>
      </patternFill>
    </fill>
  </fills>
  <borders count="48">
    <border>
      <left/>
      <right/>
      <top/>
      <bottom/>
      <diagonal/>
    </border>
    <border>
      <left>
        <color indexed="63"/>
      </left>
      <right>
        <color indexed="63"/>
      </right>
      <top>
        <color indexed="63"/>
      </top>
      <bottom style="medium"/>
    </border>
    <border>
      <left style="medium"/>
      <right style="medium"/>
      <top>
        <color indexed="63"/>
      </top>
      <bottom style="medium"/>
    </border>
    <border>
      <left style="medium"/>
      <right style="medium"/>
      <top style="medium"/>
      <bottom>
        <color indexed="63"/>
      </bottom>
    </border>
    <border>
      <left style="medium"/>
      <right style="medium"/>
      <top style="medium"/>
      <bottom style="mediu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medium"/>
      <right style="thin"/>
      <top style="thin"/>
      <bottom style="medium"/>
    </border>
    <border>
      <left>
        <color indexed="63"/>
      </left>
      <right style="thin"/>
      <top style="thin"/>
      <bottom style="medium"/>
    </border>
    <border>
      <left style="thin"/>
      <right style="medium"/>
      <top style="thin"/>
      <bottom>
        <color indexed="63"/>
      </bottom>
    </border>
    <border>
      <left style="medium"/>
      <right style="thin"/>
      <top style="thin"/>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thin"/>
      <bottom>
        <color indexed="63"/>
      </bottom>
    </border>
    <border>
      <left style="thin"/>
      <right style="thin"/>
      <top style="thin"/>
      <bottom>
        <color indexed="63"/>
      </bottom>
    </border>
    <border>
      <left style="thin"/>
      <right style="medium"/>
      <top>
        <color indexed="63"/>
      </top>
      <bottom style="thin"/>
    </border>
    <border>
      <left>
        <color indexed="63"/>
      </left>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thin"/>
    </border>
    <border>
      <left style="medium"/>
      <right style="thin"/>
      <top>
        <color indexed="63"/>
      </top>
      <bottom style="thin"/>
    </border>
    <border>
      <left style="medium"/>
      <right>
        <color indexed="63"/>
      </right>
      <top style="thin"/>
      <bottom style="thin"/>
    </border>
    <border>
      <left style="thin"/>
      <right style="thin"/>
      <top>
        <color indexed="63"/>
      </top>
      <bottom>
        <color indexed="63"/>
      </bottom>
    </border>
    <border>
      <left style="medium"/>
      <right>
        <color indexed="63"/>
      </right>
      <top style="medium"/>
      <bottom style="medium"/>
    </border>
    <border>
      <left style="medium"/>
      <right style="medium"/>
      <top>
        <color indexed="63"/>
      </top>
      <bottom style="thin"/>
    </border>
    <border>
      <left>
        <color indexed="63"/>
      </left>
      <right style="medium"/>
      <top>
        <color indexed="63"/>
      </top>
      <bottom>
        <color indexed="63"/>
      </bottom>
    </border>
    <border>
      <left style="medium"/>
      <right style="medium"/>
      <top style="thin"/>
      <bottom style="thin"/>
    </border>
    <border>
      <left style="medium"/>
      <right style="medium"/>
      <top style="thin"/>
      <bottom>
        <color indexed="63"/>
      </bottom>
    </border>
    <border>
      <left>
        <color indexed="63"/>
      </left>
      <right style="medium"/>
      <top style="medium"/>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medium"/>
      <bottom>
        <color indexed="63"/>
      </botto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73">
    <xf numFmtId="0" fontId="0" fillId="0" borderId="0" xfId="0" applyAlignment="1">
      <alignment/>
    </xf>
    <xf numFmtId="0" fontId="1" fillId="0" borderId="0" xfId="0" applyFont="1" applyFill="1" applyAlignment="1">
      <alignment horizontal="center" vertical="top"/>
    </xf>
    <xf numFmtId="0" fontId="1" fillId="0" borderId="0" xfId="0" applyFont="1" applyFill="1" applyAlignment="1">
      <alignment vertical="top"/>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Fill="1" applyAlignment="1">
      <alignment horizontal="left"/>
    </xf>
    <xf numFmtId="0" fontId="1" fillId="0" borderId="0" xfId="0" applyFont="1" applyFill="1" applyAlignment="1">
      <alignment horizontal="center"/>
    </xf>
    <xf numFmtId="0" fontId="1" fillId="0" borderId="0" xfId="0" applyFont="1" applyFill="1" applyBorder="1" applyAlignment="1">
      <alignment/>
    </xf>
    <xf numFmtId="0" fontId="1" fillId="0" borderId="0" xfId="0" applyFont="1" applyFill="1" applyBorder="1" applyAlignment="1">
      <alignment horizontal="right"/>
    </xf>
    <xf numFmtId="0" fontId="1" fillId="0" borderId="0" xfId="0" applyFont="1" applyFill="1" applyBorder="1" applyAlignment="1">
      <alignment horizontal="left"/>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4" xfId="0" applyFont="1" applyFill="1" applyBorder="1" applyAlignment="1">
      <alignment horizontal="center" vertical="top"/>
    </xf>
    <xf numFmtId="0" fontId="3" fillId="0" borderId="4" xfId="0" applyFont="1" applyFill="1" applyBorder="1" applyAlignment="1">
      <alignment horizontal="center"/>
    </xf>
    <xf numFmtId="0" fontId="3" fillId="0" borderId="0" xfId="0" applyFont="1" applyFill="1" applyBorder="1" applyAlignment="1">
      <alignment vertical="center"/>
    </xf>
    <xf numFmtId="0" fontId="3" fillId="0" borderId="0" xfId="0" applyFont="1" applyFill="1" applyAlignment="1">
      <alignment vertical="center"/>
    </xf>
    <xf numFmtId="0" fontId="1" fillId="0" borderId="5" xfId="0" applyFont="1" applyFill="1" applyBorder="1" applyAlignment="1">
      <alignment horizontal="left" wrapText="1"/>
    </xf>
    <xf numFmtId="0" fontId="3" fillId="0" borderId="0" xfId="0" applyFont="1" applyFill="1" applyAlignment="1">
      <alignment/>
    </xf>
    <xf numFmtId="49" fontId="1" fillId="0" borderId="5" xfId="0" applyNumberFormat="1" applyFont="1" applyFill="1" applyBorder="1" applyAlignment="1">
      <alignment horizontal="left" vertical="center" wrapText="1"/>
    </xf>
    <xf numFmtId="0" fontId="3" fillId="0" borderId="0" xfId="0" applyFont="1" applyFill="1" applyBorder="1" applyAlignment="1">
      <alignment/>
    </xf>
    <xf numFmtId="0" fontId="1" fillId="0" borderId="5" xfId="0" applyFont="1" applyFill="1" applyBorder="1" applyAlignment="1">
      <alignment horizontal="left" vertical="center" wrapText="1"/>
    </xf>
    <xf numFmtId="172" fontId="1" fillId="0" borderId="5" xfId="0" applyNumberFormat="1" applyFont="1" applyFill="1" applyBorder="1" applyAlignment="1">
      <alignment/>
    </xf>
    <xf numFmtId="0" fontId="3" fillId="0" borderId="5" xfId="0" applyFont="1" applyFill="1" applyBorder="1" applyAlignment="1">
      <alignment horizontal="left" wrapText="1"/>
    </xf>
    <xf numFmtId="172" fontId="3" fillId="0" borderId="5" xfId="0" applyNumberFormat="1" applyFont="1" applyFill="1" applyBorder="1" applyAlignment="1">
      <alignment/>
    </xf>
    <xf numFmtId="172" fontId="3" fillId="0" borderId="0" xfId="0" applyNumberFormat="1" applyFont="1" applyFill="1" applyBorder="1" applyAlignment="1">
      <alignment/>
    </xf>
    <xf numFmtId="173" fontId="3" fillId="0" borderId="0" xfId="0" applyNumberFormat="1" applyFont="1" applyFill="1" applyAlignment="1">
      <alignment/>
    </xf>
    <xf numFmtId="172" fontId="1" fillId="0" borderId="5" xfId="0" applyNumberFormat="1" applyFont="1" applyFill="1" applyBorder="1" applyAlignment="1">
      <alignment horizontal="right"/>
    </xf>
    <xf numFmtId="0" fontId="0" fillId="0" borderId="0" xfId="0" applyFont="1" applyFill="1" applyAlignment="1">
      <alignment/>
    </xf>
    <xf numFmtId="172" fontId="1" fillId="0" borderId="0" xfId="0" applyNumberFormat="1" applyFont="1" applyFill="1" applyAlignment="1">
      <alignment/>
    </xf>
    <xf numFmtId="173" fontId="1" fillId="0" borderId="0" xfId="0" applyNumberFormat="1" applyFont="1" applyFill="1" applyAlignment="1">
      <alignment/>
    </xf>
    <xf numFmtId="0" fontId="1" fillId="0" borderId="0" xfId="0" applyFont="1" applyFill="1" applyAlignment="1">
      <alignment vertical="center"/>
    </xf>
    <xf numFmtId="0" fontId="0" fillId="0" borderId="0" xfId="0" applyFill="1" applyAlignment="1">
      <alignment/>
    </xf>
    <xf numFmtId="0" fontId="1" fillId="0" borderId="0" xfId="0" applyFont="1" applyFill="1" applyBorder="1" applyAlignment="1">
      <alignment horizontal="center"/>
    </xf>
    <xf numFmtId="0" fontId="6" fillId="0" borderId="0" xfId="0" applyFont="1" applyFill="1" applyAlignment="1">
      <alignment horizontal="right"/>
    </xf>
    <xf numFmtId="0" fontId="3" fillId="0" borderId="0" xfId="0" applyFont="1" applyFill="1" applyAlignment="1">
      <alignment horizontal="right"/>
    </xf>
    <xf numFmtId="0" fontId="6" fillId="0" borderId="0" xfId="0" applyFont="1" applyFill="1" applyAlignment="1">
      <alignment/>
    </xf>
    <xf numFmtId="0" fontId="1" fillId="0" borderId="5" xfId="0" applyNumberFormat="1" applyFont="1" applyFill="1" applyBorder="1" applyAlignment="1">
      <alignment horizontal="left" vertical="center" wrapText="1"/>
    </xf>
    <xf numFmtId="172" fontId="0" fillId="0" borderId="0" xfId="0" applyNumberFormat="1" applyFill="1" applyAlignment="1">
      <alignment/>
    </xf>
    <xf numFmtId="0" fontId="0" fillId="0" borderId="0" xfId="0" applyFill="1" applyBorder="1" applyAlignment="1">
      <alignment/>
    </xf>
    <xf numFmtId="173" fontId="0" fillId="0" borderId="0" xfId="0" applyNumberFormat="1" applyFill="1" applyAlignment="1">
      <alignment/>
    </xf>
    <xf numFmtId="172" fontId="5" fillId="0" borderId="5" xfId="0" applyNumberFormat="1" applyFont="1" applyFill="1" applyBorder="1" applyAlignment="1">
      <alignment horizontal="center"/>
    </xf>
    <xf numFmtId="172" fontId="3" fillId="0" borderId="5" xfId="0" applyNumberFormat="1" applyFont="1" applyFill="1" applyBorder="1" applyAlignment="1">
      <alignment horizontal="right"/>
    </xf>
    <xf numFmtId="0" fontId="1" fillId="0" borderId="5" xfId="0" applyFont="1" applyFill="1" applyBorder="1" applyAlignment="1">
      <alignment horizontal="left" wrapText="1" shrinkToFit="1"/>
    </xf>
    <xf numFmtId="172" fontId="1" fillId="0" borderId="5" xfId="0" applyNumberFormat="1" applyFont="1" applyFill="1" applyBorder="1" applyAlignment="1">
      <alignment horizontal="center"/>
    </xf>
    <xf numFmtId="0" fontId="4" fillId="0" borderId="0" xfId="0" applyFont="1" applyFill="1" applyAlignment="1">
      <alignment horizontal="center"/>
    </xf>
    <xf numFmtId="0" fontId="1" fillId="0" borderId="5" xfId="0" applyFont="1" applyFill="1" applyBorder="1" applyAlignment="1">
      <alignment horizontal="left" vertical="center" wrapText="1" shrinkToFit="1"/>
    </xf>
    <xf numFmtId="172" fontId="4" fillId="0" borderId="0" xfId="0" applyNumberFormat="1" applyFont="1" applyFill="1" applyAlignment="1">
      <alignment horizontal="center"/>
    </xf>
    <xf numFmtId="49" fontId="1" fillId="0" borderId="5" xfId="0" applyNumberFormat="1" applyFont="1" applyFill="1" applyBorder="1" applyAlignment="1">
      <alignment horizontal="left" wrapText="1"/>
    </xf>
    <xf numFmtId="0" fontId="1" fillId="0" borderId="5" xfId="0" applyNumberFormat="1" applyFont="1" applyFill="1" applyBorder="1" applyAlignment="1">
      <alignment horizontal="left" wrapText="1"/>
    </xf>
    <xf numFmtId="0" fontId="1" fillId="0" borderId="0" xfId="0" applyFont="1" applyFill="1" applyAlignment="1">
      <alignment horizontal="left" vertical="top"/>
    </xf>
    <xf numFmtId="0" fontId="3" fillId="0" borderId="5" xfId="0" applyFont="1" applyFill="1" applyBorder="1" applyAlignment="1">
      <alignment horizontal="left" vertical="center" wrapText="1"/>
    </xf>
    <xf numFmtId="49" fontId="3" fillId="0" borderId="5" xfId="0" applyNumberFormat="1" applyFont="1" applyFill="1" applyBorder="1" applyAlignment="1">
      <alignment vertical="center" wrapText="1"/>
    </xf>
    <xf numFmtId="0" fontId="3" fillId="0" borderId="5" xfId="0" applyNumberFormat="1" applyFont="1" applyFill="1" applyBorder="1" applyAlignment="1">
      <alignment horizontal="left" vertical="center" wrapText="1"/>
    </xf>
    <xf numFmtId="49" fontId="3" fillId="0" borderId="5" xfId="0" applyNumberFormat="1" applyFont="1" applyFill="1" applyBorder="1" applyAlignment="1">
      <alignment horizontal="left" vertical="center" wrapText="1"/>
    </xf>
    <xf numFmtId="0" fontId="3" fillId="0" borderId="5" xfId="0" applyFont="1" applyFill="1" applyBorder="1" applyAlignment="1">
      <alignment horizontal="left"/>
    </xf>
    <xf numFmtId="173" fontId="4" fillId="0" borderId="0" xfId="0" applyNumberFormat="1" applyFont="1" applyAlignment="1">
      <alignment horizontal="center"/>
    </xf>
    <xf numFmtId="49" fontId="1" fillId="0" borderId="0" xfId="0" applyNumberFormat="1" applyFont="1" applyFill="1" applyAlignment="1">
      <alignment horizontal="center" vertical="top"/>
    </xf>
    <xf numFmtId="49" fontId="3" fillId="0" borderId="4" xfId="0" applyNumberFormat="1" applyFont="1" applyFill="1" applyBorder="1" applyAlignment="1">
      <alignment horizontal="center" vertical="top"/>
    </xf>
    <xf numFmtId="49" fontId="3" fillId="0" borderId="6" xfId="0" applyNumberFormat="1" applyFont="1" applyFill="1" applyBorder="1" applyAlignment="1">
      <alignment horizontal="center" vertical="top" wrapText="1"/>
    </xf>
    <xf numFmtId="172" fontId="3" fillId="0" borderId="7" xfId="0" applyNumberFormat="1" applyFont="1" applyFill="1" applyBorder="1" applyAlignment="1">
      <alignment horizontal="right"/>
    </xf>
    <xf numFmtId="49" fontId="1" fillId="0" borderId="6" xfId="0" applyNumberFormat="1" applyFont="1" applyFill="1" applyBorder="1" applyAlignment="1">
      <alignment horizontal="center" vertical="top" wrapText="1"/>
    </xf>
    <xf numFmtId="172" fontId="1" fillId="0" borderId="7" xfId="0" applyNumberFormat="1" applyFont="1" applyFill="1" applyBorder="1" applyAlignment="1">
      <alignment horizontal="right"/>
    </xf>
    <xf numFmtId="49" fontId="3" fillId="0" borderId="5" xfId="0" applyNumberFormat="1" applyFont="1" applyFill="1" applyBorder="1" applyAlignment="1">
      <alignment horizontal="left" vertical="top" wrapText="1"/>
    </xf>
    <xf numFmtId="172" fontId="3" fillId="0" borderId="5" xfId="0" applyNumberFormat="1" applyFont="1" applyFill="1" applyBorder="1" applyAlignment="1">
      <alignment horizontal="right" vertical="top"/>
    </xf>
    <xf numFmtId="172" fontId="3" fillId="0" borderId="7" xfId="0" applyNumberFormat="1" applyFont="1" applyFill="1" applyBorder="1" applyAlignment="1">
      <alignment horizontal="right" vertical="top"/>
    </xf>
    <xf numFmtId="49" fontId="3" fillId="0" borderId="6" xfId="0" applyNumberFormat="1" applyFont="1" applyFill="1" applyBorder="1" applyAlignment="1">
      <alignment horizontal="center" vertical="top"/>
    </xf>
    <xf numFmtId="49" fontId="1" fillId="0" borderId="6" xfId="0" applyNumberFormat="1" applyFont="1" applyFill="1" applyBorder="1" applyAlignment="1">
      <alignment horizontal="center" vertical="top"/>
    </xf>
    <xf numFmtId="0" fontId="1" fillId="0" borderId="5" xfId="0" applyFont="1" applyFill="1" applyBorder="1" applyAlignment="1">
      <alignment vertical="top" wrapText="1"/>
    </xf>
    <xf numFmtId="0" fontId="3" fillId="0" borderId="5" xfId="0" applyFont="1" applyFill="1" applyBorder="1" applyAlignment="1">
      <alignment horizontal="left" vertical="top" wrapText="1"/>
    </xf>
    <xf numFmtId="172" fontId="1" fillId="0" borderId="7" xfId="0" applyNumberFormat="1" applyFont="1" applyFill="1" applyBorder="1" applyAlignment="1">
      <alignment/>
    </xf>
    <xf numFmtId="0" fontId="1" fillId="0" borderId="5" xfId="0" applyFont="1" applyFill="1" applyBorder="1" applyAlignment="1">
      <alignment horizontal="left" vertical="top" wrapText="1" shrinkToFit="1"/>
    </xf>
    <xf numFmtId="0" fontId="1" fillId="0" borderId="6" xfId="0" applyFont="1" applyFill="1" applyBorder="1" applyAlignment="1">
      <alignment/>
    </xf>
    <xf numFmtId="0" fontId="1" fillId="0" borderId="5" xfId="0" applyFont="1" applyFill="1" applyBorder="1" applyAlignment="1">
      <alignment/>
    </xf>
    <xf numFmtId="172" fontId="3" fillId="0" borderId="8" xfId="0" applyNumberFormat="1" applyFont="1" applyFill="1" applyBorder="1" applyAlignment="1">
      <alignment horizontal="right"/>
    </xf>
    <xf numFmtId="172" fontId="3" fillId="0" borderId="9" xfId="0" applyNumberFormat="1" applyFont="1" applyFill="1" applyBorder="1" applyAlignment="1">
      <alignment horizontal="right"/>
    </xf>
    <xf numFmtId="4" fontId="1" fillId="0" borderId="0" xfId="0" applyNumberFormat="1" applyFont="1" applyFill="1" applyAlignment="1">
      <alignment/>
    </xf>
    <xf numFmtId="49" fontId="4" fillId="0" borderId="3" xfId="0" applyNumberFormat="1" applyFont="1" applyFill="1" applyBorder="1" applyAlignment="1">
      <alignment horizontal="center" vertical="top"/>
    </xf>
    <xf numFmtId="0" fontId="4" fillId="0" borderId="3" xfId="0" applyNumberFormat="1" applyFont="1" applyFill="1" applyBorder="1" applyAlignment="1">
      <alignment horizontal="center" vertical="center"/>
    </xf>
    <xf numFmtId="0" fontId="4" fillId="0" borderId="3" xfId="0" applyFont="1" applyFill="1" applyBorder="1" applyAlignment="1">
      <alignment horizontal="center"/>
    </xf>
    <xf numFmtId="49" fontId="3" fillId="0" borderId="10" xfId="0" applyNumberFormat="1" applyFont="1" applyFill="1" applyBorder="1" applyAlignment="1">
      <alignment horizontal="center" vertical="top"/>
    </xf>
    <xf numFmtId="0" fontId="3" fillId="0" borderId="11" xfId="0" applyNumberFormat="1" applyFont="1" applyFill="1" applyBorder="1" applyAlignment="1">
      <alignment horizontal="left" vertical="center" wrapText="1"/>
    </xf>
    <xf numFmtId="172" fontId="3" fillId="0" borderId="11" xfId="0" applyNumberFormat="1" applyFont="1" applyFill="1" applyBorder="1" applyAlignment="1">
      <alignment horizontal="right"/>
    </xf>
    <xf numFmtId="172" fontId="3" fillId="0" borderId="12" xfId="0" applyNumberFormat="1" applyFont="1" applyFill="1" applyBorder="1" applyAlignment="1">
      <alignment horizontal="right"/>
    </xf>
    <xf numFmtId="0" fontId="6" fillId="0" borderId="0" xfId="0" applyFont="1" applyFill="1" applyBorder="1" applyAlignment="1">
      <alignment/>
    </xf>
    <xf numFmtId="172" fontId="0" fillId="0" borderId="0" xfId="0" applyNumberFormat="1" applyFont="1" applyFill="1" applyBorder="1" applyAlignment="1">
      <alignment/>
    </xf>
    <xf numFmtId="0" fontId="0" fillId="0" borderId="0" xfId="0" applyFont="1" applyFill="1" applyBorder="1" applyAlignment="1">
      <alignment/>
    </xf>
    <xf numFmtId="172" fontId="3" fillId="0" borderId="7" xfId="0" applyNumberFormat="1" applyFont="1" applyFill="1" applyBorder="1" applyAlignment="1">
      <alignment/>
    </xf>
    <xf numFmtId="0" fontId="4" fillId="0" borderId="5" xfId="0" applyNumberFormat="1" applyFont="1" applyFill="1" applyBorder="1" applyAlignment="1">
      <alignment horizontal="left" vertical="center" wrapText="1"/>
    </xf>
    <xf numFmtId="0" fontId="1" fillId="0" borderId="5" xfId="0" applyFont="1" applyFill="1" applyBorder="1" applyAlignment="1">
      <alignment vertical="center"/>
    </xf>
    <xf numFmtId="172" fontId="6" fillId="0" borderId="0" xfId="0" applyNumberFormat="1" applyFont="1" applyFill="1" applyAlignment="1">
      <alignment/>
    </xf>
    <xf numFmtId="172" fontId="0" fillId="0" borderId="0" xfId="0" applyNumberFormat="1" applyFont="1" applyFill="1" applyAlignment="1">
      <alignment/>
    </xf>
    <xf numFmtId="0" fontId="1" fillId="0" borderId="5" xfId="0" applyFont="1" applyFill="1" applyBorder="1" applyAlignment="1">
      <alignment vertical="center" wrapText="1"/>
    </xf>
    <xf numFmtId="172" fontId="1" fillId="0" borderId="5" xfId="0" applyNumberFormat="1" applyFont="1" applyFill="1" applyBorder="1" applyAlignment="1">
      <alignment vertical="center"/>
    </xf>
    <xf numFmtId="172" fontId="1" fillId="0" borderId="5" xfId="0" applyNumberFormat="1" applyFont="1" applyFill="1" applyBorder="1" applyAlignment="1">
      <alignment/>
    </xf>
    <xf numFmtId="172" fontId="1" fillId="0" borderId="5" xfId="0" applyNumberFormat="1" applyFont="1" applyFill="1" applyBorder="1" applyAlignment="1">
      <alignment horizontal="left"/>
    </xf>
    <xf numFmtId="0" fontId="3" fillId="0" borderId="5" xfId="0" applyFont="1" applyFill="1" applyBorder="1" applyAlignment="1">
      <alignment vertical="top" wrapText="1"/>
    </xf>
    <xf numFmtId="172" fontId="3" fillId="0" borderId="8" xfId="0" applyNumberFormat="1" applyFont="1" applyFill="1" applyBorder="1" applyAlignment="1">
      <alignment/>
    </xf>
    <xf numFmtId="49" fontId="1" fillId="0" borderId="0" xfId="0" applyNumberFormat="1" applyFont="1" applyFill="1" applyBorder="1" applyAlignment="1">
      <alignment horizontal="center" vertical="top" wrapText="1"/>
    </xf>
    <xf numFmtId="0" fontId="1" fillId="0" borderId="0" xfId="0" applyNumberFormat="1" applyFont="1" applyFill="1" applyBorder="1" applyAlignment="1">
      <alignment horizontal="left" vertical="center" wrapText="1"/>
    </xf>
    <xf numFmtId="0" fontId="5" fillId="0" borderId="0" xfId="0" applyFont="1" applyFill="1" applyAlignment="1">
      <alignment/>
    </xf>
    <xf numFmtId="49" fontId="4" fillId="0" borderId="0" xfId="0" applyNumberFormat="1" applyFont="1" applyFill="1" applyAlignment="1">
      <alignment horizontal="center" vertical="top"/>
    </xf>
    <xf numFmtId="0" fontId="4" fillId="0" borderId="0" xfId="0" applyFont="1" applyFill="1" applyAlignment="1">
      <alignment horizontal="left" wrapText="1" shrinkToFit="1"/>
    </xf>
    <xf numFmtId="0" fontId="1" fillId="0" borderId="4" xfId="0" applyFont="1" applyFill="1" applyBorder="1" applyAlignment="1">
      <alignment horizontal="center" vertical="center"/>
    </xf>
    <xf numFmtId="0" fontId="1" fillId="0" borderId="0" xfId="0" applyFont="1" applyFill="1" applyBorder="1" applyAlignment="1">
      <alignment horizontal="center" wrapText="1"/>
    </xf>
    <xf numFmtId="49" fontId="1" fillId="0" borderId="4" xfId="0" applyNumberFormat="1" applyFont="1" applyFill="1" applyBorder="1" applyAlignment="1">
      <alignment horizontal="center" vertical="top"/>
    </xf>
    <xf numFmtId="0" fontId="1" fillId="0" borderId="4" xfId="0" applyFont="1" applyFill="1" applyBorder="1" applyAlignment="1">
      <alignment horizontal="center" wrapText="1" shrinkToFit="1"/>
    </xf>
    <xf numFmtId="0" fontId="1" fillId="0" borderId="4" xfId="0" applyFont="1" applyFill="1" applyBorder="1" applyAlignment="1">
      <alignment horizontal="center"/>
    </xf>
    <xf numFmtId="173" fontId="7" fillId="0" borderId="0" xfId="0" applyNumberFormat="1" applyFont="1" applyFill="1" applyBorder="1" applyAlignment="1">
      <alignment horizontal="center"/>
    </xf>
    <xf numFmtId="0" fontId="7" fillId="0" borderId="0" xfId="0" applyFont="1" applyFill="1" applyAlignment="1">
      <alignment horizontal="center"/>
    </xf>
    <xf numFmtId="49" fontId="1" fillId="0" borderId="10" xfId="0" applyNumberFormat="1" applyFont="1" applyFill="1" applyBorder="1" applyAlignment="1">
      <alignment horizontal="center" vertical="top"/>
    </xf>
    <xf numFmtId="0" fontId="1" fillId="0" borderId="11" xfId="0" applyFont="1" applyFill="1" applyBorder="1" applyAlignment="1">
      <alignment horizontal="left" wrapText="1" shrinkToFit="1"/>
    </xf>
    <xf numFmtId="172" fontId="1" fillId="0" borderId="11" xfId="0" applyNumberFormat="1" applyFont="1" applyFill="1" applyBorder="1" applyAlignment="1">
      <alignment horizontal="center"/>
    </xf>
    <xf numFmtId="172" fontId="1" fillId="0" borderId="12" xfId="0" applyNumberFormat="1" applyFont="1" applyFill="1" applyBorder="1" applyAlignment="1">
      <alignment horizontal="center"/>
    </xf>
    <xf numFmtId="172" fontId="10" fillId="0" borderId="5" xfId="0" applyNumberFormat="1" applyFont="1" applyFill="1" applyBorder="1" applyAlignment="1">
      <alignment horizontal="center"/>
    </xf>
    <xf numFmtId="172" fontId="1" fillId="0" borderId="7" xfId="0" applyNumberFormat="1" applyFont="1" applyFill="1" applyBorder="1" applyAlignment="1">
      <alignment horizontal="center"/>
    </xf>
    <xf numFmtId="0" fontId="3" fillId="0" borderId="5" xfId="0" applyFont="1" applyFill="1" applyBorder="1" applyAlignment="1">
      <alignment horizontal="left" wrapText="1" shrinkToFit="1"/>
    </xf>
    <xf numFmtId="172" fontId="3" fillId="0" borderId="5" xfId="0" applyNumberFormat="1" applyFont="1" applyFill="1" applyBorder="1" applyAlignment="1">
      <alignment horizontal="center"/>
    </xf>
    <xf numFmtId="172" fontId="3" fillId="0" borderId="7" xfId="0" applyNumberFormat="1" applyFont="1" applyFill="1" applyBorder="1" applyAlignment="1">
      <alignment horizontal="center"/>
    </xf>
    <xf numFmtId="0" fontId="1" fillId="0" borderId="5" xfId="0" applyFont="1" applyFill="1" applyBorder="1" applyAlignment="1">
      <alignment wrapText="1" shrinkToFit="1"/>
    </xf>
    <xf numFmtId="172" fontId="1" fillId="0" borderId="5" xfId="0" applyNumberFormat="1" applyFont="1" applyFill="1" applyBorder="1" applyAlignment="1">
      <alignment horizontal="center" vertical="center"/>
    </xf>
    <xf numFmtId="172" fontId="1" fillId="0" borderId="7" xfId="0" applyNumberFormat="1" applyFont="1" applyFill="1" applyBorder="1" applyAlignment="1">
      <alignment horizontal="center" vertical="center"/>
    </xf>
    <xf numFmtId="172" fontId="11" fillId="0" borderId="5" xfId="0" applyNumberFormat="1" applyFont="1" applyFill="1" applyBorder="1" applyAlignment="1">
      <alignment horizontal="center"/>
    </xf>
    <xf numFmtId="172" fontId="7" fillId="0" borderId="0" xfId="0" applyNumberFormat="1" applyFont="1" applyFill="1" applyAlignment="1">
      <alignment horizontal="center"/>
    </xf>
    <xf numFmtId="0" fontId="10" fillId="0" borderId="5" xfId="0" applyFont="1" applyFill="1" applyBorder="1" applyAlignment="1">
      <alignment wrapText="1"/>
    </xf>
    <xf numFmtId="0" fontId="1" fillId="0" borderId="5" xfId="0" applyFont="1" applyFill="1" applyBorder="1" applyAlignment="1">
      <alignment horizontal="justify" vertical="top" wrapText="1"/>
    </xf>
    <xf numFmtId="0" fontId="3" fillId="0" borderId="5" xfId="0" applyFont="1" applyFill="1" applyBorder="1" applyAlignment="1">
      <alignment horizontal="left" vertical="top" wrapText="1" shrinkToFit="1"/>
    </xf>
    <xf numFmtId="172" fontId="3" fillId="0" borderId="8" xfId="0" applyNumberFormat="1" applyFont="1" applyFill="1" applyBorder="1" applyAlignment="1">
      <alignment horizontal="center"/>
    </xf>
    <xf numFmtId="172" fontId="3" fillId="0" borderId="9" xfId="0" applyNumberFormat="1" applyFont="1" applyFill="1" applyBorder="1" applyAlignment="1">
      <alignment horizontal="center"/>
    </xf>
    <xf numFmtId="172" fontId="4" fillId="0" borderId="0" xfId="0" applyNumberFormat="1" applyFont="1" applyFill="1" applyAlignment="1">
      <alignment horizontal="left" wrapText="1" shrinkToFit="1"/>
    </xf>
    <xf numFmtId="172" fontId="3" fillId="0" borderId="0" xfId="0" applyNumberFormat="1" applyFont="1" applyFill="1" applyAlignment="1">
      <alignment horizontal="center"/>
    </xf>
    <xf numFmtId="0" fontId="2" fillId="0" borderId="0" xfId="0" applyFont="1" applyFill="1" applyAlignment="1">
      <alignment wrapText="1"/>
    </xf>
    <xf numFmtId="0" fontId="14" fillId="0" borderId="0" xfId="0" applyFont="1" applyFill="1" applyAlignment="1">
      <alignment horizontal="center"/>
    </xf>
    <xf numFmtId="0" fontId="3" fillId="0" borderId="0" xfId="0" applyFont="1" applyFill="1" applyAlignment="1">
      <alignment horizontal="center"/>
    </xf>
    <xf numFmtId="0" fontId="4" fillId="0" borderId="0" xfId="0" applyFont="1" applyFill="1" applyAlignment="1">
      <alignment vertical="center"/>
    </xf>
    <xf numFmtId="0" fontId="3" fillId="0" borderId="0" xfId="0" applyFont="1" applyFill="1" applyBorder="1" applyAlignment="1">
      <alignment horizontal="center" vertical="center" wrapText="1"/>
    </xf>
    <xf numFmtId="0" fontId="4" fillId="0" borderId="10" xfId="0" applyFont="1" applyFill="1" applyBorder="1" applyAlignment="1">
      <alignment horizontal="left" vertical="center" wrapText="1"/>
    </xf>
    <xf numFmtId="172" fontId="5" fillId="0" borderId="13" xfId="0" applyNumberFormat="1" applyFont="1" applyFill="1" applyBorder="1" applyAlignment="1">
      <alignment horizontal="center"/>
    </xf>
    <xf numFmtId="0" fontId="5" fillId="0" borderId="13" xfId="0" applyFont="1" applyFill="1" applyBorder="1" applyAlignment="1">
      <alignment horizontal="center"/>
    </xf>
    <xf numFmtId="172" fontId="5" fillId="0" borderId="11" xfId="0" applyNumberFormat="1" applyFont="1" applyFill="1" applyBorder="1" applyAlignment="1">
      <alignment horizontal="center"/>
    </xf>
    <xf numFmtId="0" fontId="4" fillId="0" borderId="13" xfId="0" applyFont="1" applyFill="1" applyBorder="1" applyAlignment="1">
      <alignment/>
    </xf>
    <xf numFmtId="179" fontId="5" fillId="0" borderId="13" xfId="0" applyNumberFormat="1" applyFont="1" applyFill="1" applyBorder="1" applyAlignment="1">
      <alignment horizontal="center"/>
    </xf>
    <xf numFmtId="179" fontId="5" fillId="0" borderId="14" xfId="0" applyNumberFormat="1" applyFont="1" applyFill="1" applyBorder="1" applyAlignment="1">
      <alignment horizontal="center"/>
    </xf>
    <xf numFmtId="173" fontId="15" fillId="0" borderId="0" xfId="0" applyNumberFormat="1" applyFont="1" applyFill="1" applyAlignment="1">
      <alignment horizontal="right"/>
    </xf>
    <xf numFmtId="0" fontId="4" fillId="0" borderId="0" xfId="0" applyFont="1" applyFill="1" applyAlignment="1">
      <alignment/>
    </xf>
    <xf numFmtId="0" fontId="4" fillId="0" borderId="6" xfId="0" applyFont="1" applyFill="1" applyBorder="1" applyAlignment="1">
      <alignment/>
    </xf>
    <xf numFmtId="0" fontId="5" fillId="0" borderId="5" xfId="0" applyFont="1" applyFill="1" applyBorder="1" applyAlignment="1">
      <alignment horizontal="center"/>
    </xf>
    <xf numFmtId="0" fontId="4" fillId="0" borderId="5" xfId="0" applyFont="1" applyFill="1" applyBorder="1" applyAlignment="1">
      <alignment/>
    </xf>
    <xf numFmtId="179" fontId="5" fillId="0" borderId="5" xfId="0" applyNumberFormat="1" applyFont="1" applyFill="1" applyBorder="1" applyAlignment="1">
      <alignment horizontal="center"/>
    </xf>
    <xf numFmtId="179" fontId="5" fillId="0" borderId="15" xfId="0" applyNumberFormat="1" applyFont="1" applyFill="1" applyBorder="1" applyAlignment="1">
      <alignment horizontal="center"/>
    </xf>
    <xf numFmtId="172" fontId="5" fillId="0" borderId="15" xfId="0" applyNumberFormat="1" applyFont="1" applyFill="1" applyBorder="1" applyAlignment="1">
      <alignment horizontal="center"/>
    </xf>
    <xf numFmtId="0" fontId="4" fillId="0" borderId="16" xfId="0" applyFont="1" applyFill="1" applyBorder="1" applyAlignment="1">
      <alignment/>
    </xf>
    <xf numFmtId="172" fontId="5" fillId="0" borderId="8" xfId="0" applyNumberFormat="1" applyFont="1" applyFill="1" applyBorder="1" applyAlignment="1">
      <alignment horizontal="center"/>
    </xf>
    <xf numFmtId="172" fontId="5" fillId="0" borderId="8" xfId="0" applyNumberFormat="1" applyFont="1" applyFill="1" applyBorder="1" applyAlignment="1" applyProtection="1">
      <alignment horizontal="center"/>
      <protection/>
    </xf>
    <xf numFmtId="172" fontId="5" fillId="0" borderId="17" xfId="0" applyNumberFormat="1" applyFont="1" applyFill="1" applyBorder="1" applyAlignment="1">
      <alignment horizontal="center"/>
    </xf>
    <xf numFmtId="0" fontId="9" fillId="0" borderId="2" xfId="0" applyFont="1" applyFill="1" applyBorder="1" applyAlignment="1">
      <alignment vertical="center"/>
    </xf>
    <xf numFmtId="172" fontId="2" fillId="0" borderId="2" xfId="0" applyNumberFormat="1" applyFont="1" applyFill="1" applyBorder="1" applyAlignment="1">
      <alignment horizontal="center"/>
    </xf>
    <xf numFmtId="172" fontId="2" fillId="0" borderId="2" xfId="0" applyNumberFormat="1" applyFont="1" applyFill="1" applyBorder="1" applyAlignment="1" applyProtection="1">
      <alignment horizontal="center"/>
      <protection/>
    </xf>
    <xf numFmtId="173" fontId="15" fillId="0" borderId="0" xfId="0" applyNumberFormat="1" applyFont="1" applyFill="1" applyAlignment="1">
      <alignment horizontal="center"/>
    </xf>
    <xf numFmtId="172" fontId="2" fillId="0" borderId="0" xfId="0" applyNumberFormat="1" applyFont="1" applyFill="1" applyAlignment="1">
      <alignment horizontal="center"/>
    </xf>
    <xf numFmtId="172" fontId="2" fillId="0" borderId="12" xfId="0" applyNumberFormat="1" applyFont="1" applyFill="1" applyBorder="1" applyAlignment="1">
      <alignment horizontal="center"/>
    </xf>
    <xf numFmtId="172" fontId="2" fillId="0" borderId="7" xfId="0" applyNumberFormat="1" applyFont="1" applyFill="1" applyBorder="1" applyAlignment="1">
      <alignment horizontal="center"/>
    </xf>
    <xf numFmtId="172" fontId="2" fillId="0" borderId="18" xfId="0" applyNumberFormat="1" applyFont="1" applyFill="1" applyBorder="1" applyAlignment="1">
      <alignment horizontal="center"/>
    </xf>
    <xf numFmtId="172" fontId="2" fillId="0" borderId="4" xfId="0" applyNumberFormat="1" applyFont="1" applyFill="1" applyBorder="1" applyAlignment="1">
      <alignment horizontal="center"/>
    </xf>
    <xf numFmtId="0" fontId="3" fillId="0" borderId="3" xfId="0" applyFont="1" applyFill="1" applyBorder="1" applyAlignment="1">
      <alignment horizontal="center"/>
    </xf>
    <xf numFmtId="49" fontId="1" fillId="0" borderId="19" xfId="0" applyNumberFormat="1" applyFont="1" applyFill="1" applyBorder="1" applyAlignment="1">
      <alignment vertical="top"/>
    </xf>
    <xf numFmtId="0" fontId="3" fillId="0" borderId="20" xfId="0" applyFont="1" applyFill="1" applyBorder="1" applyAlignment="1">
      <alignment/>
    </xf>
    <xf numFmtId="9" fontId="3" fillId="0" borderId="21"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172" fontId="1" fillId="0" borderId="15" xfId="0" applyNumberFormat="1" applyFont="1" applyFill="1" applyBorder="1" applyAlignment="1">
      <alignment horizontal="right"/>
    </xf>
    <xf numFmtId="172" fontId="1" fillId="0" borderId="13" xfId="0" applyNumberFormat="1" applyFont="1" applyFill="1" applyBorder="1" applyAlignment="1">
      <alignment horizontal="right"/>
    </xf>
    <xf numFmtId="49" fontId="1" fillId="0" borderId="22" xfId="0" applyNumberFormat="1" applyFont="1" applyFill="1" applyBorder="1" applyAlignment="1">
      <alignment vertical="top"/>
    </xf>
    <xf numFmtId="172" fontId="1" fillId="0" borderId="23" xfId="0" applyNumberFormat="1" applyFont="1" applyFill="1" applyBorder="1" applyAlignment="1">
      <alignment horizontal="center"/>
    </xf>
    <xf numFmtId="172" fontId="1" fillId="0" borderId="13" xfId="0" applyNumberFormat="1" applyFont="1" applyFill="1" applyBorder="1" applyAlignment="1">
      <alignment horizontal="center"/>
    </xf>
    <xf numFmtId="172" fontId="1" fillId="0" borderId="24" xfId="0" applyNumberFormat="1" applyFont="1" applyFill="1" applyBorder="1" applyAlignment="1">
      <alignment horizontal="center"/>
    </xf>
    <xf numFmtId="172" fontId="1" fillId="0" borderId="18" xfId="0" applyNumberFormat="1" applyFont="1" applyFill="1" applyBorder="1" applyAlignment="1">
      <alignment horizontal="center"/>
    </xf>
    <xf numFmtId="49" fontId="1" fillId="0" borderId="20" xfId="0" applyNumberFormat="1" applyFont="1" applyFill="1" applyBorder="1" applyAlignment="1">
      <alignment horizontal="center" vertical="top"/>
    </xf>
    <xf numFmtId="172" fontId="1" fillId="0" borderId="25" xfId="0" applyNumberFormat="1" applyFont="1" applyFill="1" applyBorder="1" applyAlignment="1">
      <alignment horizontal="center"/>
    </xf>
    <xf numFmtId="49" fontId="3" fillId="0" borderId="26" xfId="0" applyNumberFormat="1" applyFont="1" applyFill="1" applyBorder="1" applyAlignment="1">
      <alignment horizontal="center" vertical="top"/>
    </xf>
    <xf numFmtId="0" fontId="3" fillId="0" borderId="27" xfId="0" applyFont="1" applyFill="1" applyBorder="1" applyAlignment="1">
      <alignment horizontal="left" wrapText="1" shrinkToFit="1"/>
    </xf>
    <xf numFmtId="172" fontId="3" fillId="0" borderId="27" xfId="0" applyNumberFormat="1" applyFont="1" applyFill="1" applyBorder="1" applyAlignment="1">
      <alignment horizontal="center"/>
    </xf>
    <xf numFmtId="172" fontId="3" fillId="0" borderId="28" xfId="0" applyNumberFormat="1" applyFont="1" applyFill="1" applyBorder="1" applyAlignment="1">
      <alignment horizontal="center"/>
    </xf>
    <xf numFmtId="49" fontId="4" fillId="0" borderId="29"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0" fontId="4" fillId="0" borderId="30" xfId="0" applyFont="1" applyFill="1" applyBorder="1" applyAlignment="1">
      <alignment horizontal="center"/>
    </xf>
    <xf numFmtId="0" fontId="4" fillId="0" borderId="23" xfId="0" applyFont="1" applyFill="1" applyBorder="1" applyAlignment="1">
      <alignment vertical="top" wrapText="1"/>
    </xf>
    <xf numFmtId="9" fontId="4" fillId="0" borderId="23" xfId="0" applyNumberFormat="1" applyFont="1" applyFill="1" applyBorder="1" applyAlignment="1">
      <alignment vertical="center" wrapText="1"/>
    </xf>
    <xf numFmtId="49" fontId="1" fillId="0" borderId="30" xfId="0" applyNumberFormat="1" applyFont="1" applyFill="1" applyBorder="1" applyAlignment="1">
      <alignment horizontal="center" vertical="top"/>
    </xf>
    <xf numFmtId="9" fontId="4" fillId="0" borderId="5" xfId="0" applyNumberFormat="1" applyFont="1" applyFill="1" applyBorder="1" applyAlignment="1">
      <alignment vertical="center" wrapText="1"/>
    </xf>
    <xf numFmtId="172" fontId="1" fillId="0" borderId="24" xfId="0" applyNumberFormat="1" applyFont="1" applyFill="1" applyBorder="1" applyAlignment="1">
      <alignment horizontal="right"/>
    </xf>
    <xf numFmtId="172" fontId="1" fillId="0" borderId="23" xfId="0" applyNumberFormat="1" applyFont="1" applyFill="1" applyBorder="1" applyAlignment="1">
      <alignment horizontal="right"/>
    </xf>
    <xf numFmtId="172" fontId="3" fillId="0" borderId="23" xfId="0" applyNumberFormat="1" applyFont="1" applyFill="1" applyBorder="1" applyAlignment="1">
      <alignment horizontal="right"/>
    </xf>
    <xf numFmtId="172" fontId="1" fillId="0" borderId="18" xfId="0" applyNumberFormat="1" applyFont="1" applyFill="1" applyBorder="1" applyAlignment="1">
      <alignment horizontal="right"/>
    </xf>
    <xf numFmtId="49" fontId="1" fillId="0" borderId="31" xfId="0" applyNumberFormat="1" applyFont="1" applyFill="1" applyBorder="1" applyAlignment="1">
      <alignment horizontal="center" vertical="top"/>
    </xf>
    <xf numFmtId="172" fontId="1" fillId="0" borderId="24" xfId="0" applyNumberFormat="1" applyFont="1" applyFill="1" applyBorder="1" applyAlignment="1">
      <alignment/>
    </xf>
    <xf numFmtId="172" fontId="1" fillId="0" borderId="18" xfId="0" applyNumberFormat="1" applyFont="1" applyFill="1" applyBorder="1" applyAlignment="1">
      <alignment/>
    </xf>
    <xf numFmtId="0" fontId="3" fillId="0" borderId="30" xfId="0" applyFont="1" applyFill="1" applyBorder="1" applyAlignment="1">
      <alignment/>
    </xf>
    <xf numFmtId="49" fontId="1" fillId="0" borderId="30" xfId="0" applyNumberFormat="1" applyFont="1" applyFill="1" applyBorder="1" applyAlignment="1">
      <alignment horizontal="center" vertical="top" wrapText="1"/>
    </xf>
    <xf numFmtId="0" fontId="1" fillId="0" borderId="13" xfId="0" applyFont="1" applyFill="1" applyBorder="1" applyAlignment="1">
      <alignment horizontal="left" wrapText="1"/>
    </xf>
    <xf numFmtId="49" fontId="3" fillId="0" borderId="10" xfId="0" applyNumberFormat="1" applyFont="1" applyFill="1" applyBorder="1" applyAlignment="1">
      <alignment horizontal="center" vertical="top" wrapText="1"/>
    </xf>
    <xf numFmtId="0" fontId="3" fillId="0" borderId="11" xfId="0" applyFont="1" applyFill="1" applyBorder="1" applyAlignment="1">
      <alignment horizontal="left" wrapText="1"/>
    </xf>
    <xf numFmtId="9" fontId="4" fillId="0" borderId="32" xfId="0" applyNumberFormat="1" applyFont="1" applyFill="1" applyBorder="1" applyAlignment="1">
      <alignment horizontal="left" vertical="center" wrapText="1"/>
    </xf>
    <xf numFmtId="9" fontId="4" fillId="0" borderId="13"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9" fontId="4" fillId="0" borderId="5" xfId="0" applyNumberFormat="1" applyFont="1" applyFill="1" applyBorder="1" applyAlignment="1">
      <alignment horizontal="left" vertical="center" wrapText="1"/>
    </xf>
    <xf numFmtId="9" fontId="4" fillId="0" borderId="13" xfId="0" applyNumberFormat="1" applyFont="1" applyFill="1" applyBorder="1" applyAlignment="1">
      <alignment vertical="center" wrapText="1"/>
    </xf>
    <xf numFmtId="0" fontId="1" fillId="0" borderId="0" xfId="0" applyFont="1" applyAlignment="1">
      <alignment/>
    </xf>
    <xf numFmtId="0" fontId="3" fillId="0" borderId="0" xfId="0" applyFont="1" applyAlignment="1">
      <alignment horizontal="center" wrapText="1"/>
    </xf>
    <xf numFmtId="0" fontId="1" fillId="0" borderId="0" xfId="0" applyFont="1" applyAlignment="1">
      <alignment horizontal="right"/>
    </xf>
    <xf numFmtId="0" fontId="3" fillId="0" borderId="33" xfId="0" applyFont="1" applyFill="1" applyBorder="1" applyAlignment="1">
      <alignment horizontal="center" vertical="top" wrapText="1"/>
    </xf>
    <xf numFmtId="0" fontId="3" fillId="0" borderId="4" xfId="0" applyFont="1" applyBorder="1" applyAlignment="1">
      <alignment horizontal="center" vertical="top" wrapText="1"/>
    </xf>
    <xf numFmtId="0" fontId="1" fillId="0" borderId="33" xfId="0" applyFont="1" applyFill="1" applyBorder="1" applyAlignment="1">
      <alignment horizontal="left" vertical="center" wrapText="1"/>
    </xf>
    <xf numFmtId="172" fontId="1" fillId="0" borderId="4" xfId="0" applyNumberFormat="1" applyFont="1" applyBorder="1" applyAlignment="1">
      <alignment horizontal="center" vertical="center" wrapText="1"/>
    </xf>
    <xf numFmtId="0" fontId="1" fillId="0" borderId="4" xfId="0" applyFont="1" applyBorder="1" applyAlignment="1">
      <alignment horizontal="left" vertical="center" wrapText="1"/>
    </xf>
    <xf numFmtId="0" fontId="1" fillId="0" borderId="29" xfId="0" applyFont="1" applyFill="1" applyBorder="1" applyAlignment="1">
      <alignment horizontal="left" vertical="center" wrapText="1"/>
    </xf>
    <xf numFmtId="172" fontId="1" fillId="0" borderId="34" xfId="0" applyNumberFormat="1" applyFont="1" applyBorder="1" applyAlignment="1">
      <alignment horizontal="center" vertical="center" wrapText="1"/>
    </xf>
    <xf numFmtId="0" fontId="1" fillId="0" borderId="35" xfId="0" applyFont="1" applyBorder="1" applyAlignment="1">
      <alignment vertical="center"/>
    </xf>
    <xf numFmtId="172" fontId="1" fillId="0" borderId="34" xfId="0" applyNumberFormat="1" applyFont="1" applyFill="1" applyBorder="1" applyAlignment="1">
      <alignment horizontal="center" vertical="center" wrapText="1"/>
    </xf>
    <xf numFmtId="0" fontId="1" fillId="0" borderId="31" xfId="0" applyFont="1" applyFill="1" applyBorder="1" applyAlignment="1">
      <alignment horizontal="left" vertical="center" wrapText="1"/>
    </xf>
    <xf numFmtId="172" fontId="1" fillId="0" borderId="36" xfId="0" applyNumberFormat="1" applyFont="1" applyFill="1" applyBorder="1" applyAlignment="1">
      <alignment horizontal="center" vertical="center" wrapText="1"/>
    </xf>
    <xf numFmtId="0" fontId="1" fillId="0" borderId="31" xfId="0" applyFont="1" applyBorder="1" applyAlignment="1">
      <alignment horizontal="left" vertical="center"/>
    </xf>
    <xf numFmtId="172" fontId="1" fillId="0" borderId="36" xfId="0" applyNumberFormat="1" applyFont="1" applyBorder="1" applyAlignment="1">
      <alignment vertical="center"/>
    </xf>
    <xf numFmtId="172" fontId="1" fillId="0" borderId="36" xfId="0" applyNumberFormat="1" applyFont="1" applyFill="1" applyBorder="1" applyAlignment="1">
      <alignment horizontal="center" vertical="center"/>
    </xf>
    <xf numFmtId="0" fontId="1" fillId="0" borderId="31" xfId="0" applyFont="1" applyBorder="1" applyAlignment="1">
      <alignment vertical="center"/>
    </xf>
    <xf numFmtId="0" fontId="1" fillId="0" borderId="35" xfId="0" applyFont="1" applyBorder="1" applyAlignment="1">
      <alignment vertical="top" wrapText="1"/>
    </xf>
    <xf numFmtId="0" fontId="3" fillId="0" borderId="22" xfId="0" applyFont="1" applyBorder="1" applyAlignment="1">
      <alignment/>
    </xf>
    <xf numFmtId="172" fontId="3" fillId="0" borderId="37" xfId="0" applyNumberFormat="1" applyFont="1" applyFill="1" applyBorder="1" applyAlignment="1">
      <alignment horizontal="center"/>
    </xf>
    <xf numFmtId="0" fontId="1" fillId="0" borderId="35" xfId="0" applyFont="1" applyBorder="1" applyAlignment="1">
      <alignment/>
    </xf>
    <xf numFmtId="0" fontId="3" fillId="0" borderId="33" xfId="0" applyFont="1" applyBorder="1" applyAlignment="1">
      <alignment horizontal="center"/>
    </xf>
    <xf numFmtId="172" fontId="3" fillId="0" borderId="4" xfId="0" applyNumberFormat="1" applyFont="1" applyBorder="1" applyAlignment="1">
      <alignment horizontal="center"/>
    </xf>
    <xf numFmtId="0" fontId="1" fillId="0" borderId="38" xfId="0" applyFont="1" applyBorder="1" applyAlignment="1">
      <alignment/>
    </xf>
    <xf numFmtId="49" fontId="1" fillId="0" borderId="0" xfId="0" applyNumberFormat="1" applyFont="1" applyFill="1" applyAlignment="1">
      <alignment horizontal="center"/>
    </xf>
    <xf numFmtId="49" fontId="1" fillId="0" borderId="6" xfId="0" applyNumberFormat="1" applyFont="1" applyFill="1" applyBorder="1" applyAlignment="1">
      <alignment horizontal="left" vertical="top" wrapText="1"/>
    </xf>
    <xf numFmtId="0" fontId="0" fillId="0" borderId="0" xfId="0" applyFont="1" applyFill="1" applyAlignment="1">
      <alignment/>
    </xf>
    <xf numFmtId="172" fontId="1" fillId="0" borderId="37" xfId="0" applyNumberFormat="1" applyFont="1" applyFill="1" applyBorder="1" applyAlignment="1">
      <alignment horizontal="center" vertical="center"/>
    </xf>
    <xf numFmtId="172" fontId="1" fillId="0" borderId="34" xfId="0" applyNumberFormat="1" applyFont="1" applyFill="1" applyBorder="1" applyAlignment="1">
      <alignment horizontal="center" vertical="center"/>
    </xf>
    <xf numFmtId="172" fontId="1" fillId="0" borderId="4" xfId="0" applyNumberFormat="1" applyFont="1" applyFill="1" applyBorder="1" applyAlignment="1">
      <alignment horizontal="center" vertical="center"/>
    </xf>
    <xf numFmtId="0" fontId="0" fillId="0" borderId="0" xfId="0" applyAlignment="1">
      <alignment horizontal="right"/>
    </xf>
    <xf numFmtId="0" fontId="0" fillId="0" borderId="4" xfId="0" applyBorder="1" applyAlignment="1">
      <alignment horizontal="center" vertical="center" wrapText="1"/>
    </xf>
    <xf numFmtId="0" fontId="0" fillId="0" borderId="4" xfId="0" applyBorder="1" applyAlignment="1">
      <alignment horizontal="left" vertical="center" wrapText="1"/>
    </xf>
    <xf numFmtId="173" fontId="0" fillId="0" borderId="4" xfId="0" applyNumberFormat="1" applyBorder="1" applyAlignment="1">
      <alignment horizontal="center"/>
    </xf>
    <xf numFmtId="173" fontId="0" fillId="0" borderId="4" xfId="0" applyNumberFormat="1" applyBorder="1" applyAlignment="1">
      <alignment horizontal="center" wrapText="1"/>
    </xf>
    <xf numFmtId="0" fontId="0" fillId="0" borderId="4" xfId="0" applyBorder="1" applyAlignment="1">
      <alignment horizontal="center"/>
    </xf>
    <xf numFmtId="0" fontId="0" fillId="0" borderId="4" xfId="0" applyBorder="1" applyAlignment="1">
      <alignment wrapText="1"/>
    </xf>
    <xf numFmtId="0" fontId="0" fillId="0" borderId="0" xfId="0" applyAlignment="1">
      <alignment wrapText="1"/>
    </xf>
    <xf numFmtId="0" fontId="1" fillId="0" borderId="0" xfId="0" applyFont="1" applyFill="1" applyAlignment="1">
      <alignment horizontal="right" vertical="center"/>
    </xf>
    <xf numFmtId="0" fontId="0" fillId="0" borderId="39" xfId="0" applyBorder="1" applyAlignment="1">
      <alignment horizontal="right" vertical="center" wrapText="1"/>
    </xf>
    <xf numFmtId="0" fontId="0" fillId="0" borderId="39" xfId="0" applyBorder="1" applyAlignment="1">
      <alignment horizontal="right"/>
    </xf>
    <xf numFmtId="0" fontId="0" fillId="0" borderId="4" xfId="0" applyBorder="1" applyAlignment="1">
      <alignment horizontal="right"/>
    </xf>
    <xf numFmtId="49" fontId="1" fillId="0" borderId="20" xfId="0" applyNumberFormat="1" applyFont="1" applyFill="1" applyBorder="1" applyAlignment="1">
      <alignment horizontal="center"/>
    </xf>
    <xf numFmtId="172" fontId="3" fillId="0" borderId="9" xfId="0" applyNumberFormat="1" applyFont="1" applyFill="1" applyBorder="1" applyAlignment="1">
      <alignment/>
    </xf>
    <xf numFmtId="0" fontId="3" fillId="0" borderId="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0" xfId="0" applyFont="1" applyFill="1" applyBorder="1" applyAlignment="1">
      <alignment wrapText="1"/>
    </xf>
    <xf numFmtId="0" fontId="3" fillId="0" borderId="0" xfId="0" applyFont="1" applyFill="1" applyBorder="1" applyAlignment="1">
      <alignment horizontal="right" vertical="top" wrapText="1"/>
    </xf>
    <xf numFmtId="0" fontId="2" fillId="0" borderId="0" xfId="0" applyFont="1" applyFill="1" applyBorder="1" applyAlignment="1">
      <alignment horizontal="right" wrapText="1"/>
    </xf>
    <xf numFmtId="0" fontId="3" fillId="0" borderId="0" xfId="0" applyFont="1" applyFill="1" applyBorder="1" applyAlignment="1">
      <alignment wrapText="1"/>
    </xf>
    <xf numFmtId="0" fontId="1" fillId="0" borderId="0" xfId="0" applyFont="1" applyFill="1" applyBorder="1" applyAlignment="1">
      <alignment horizontal="center" vertical="center" wrapText="1"/>
    </xf>
    <xf numFmtId="0" fontId="1" fillId="0" borderId="5" xfId="0" applyFont="1" applyFill="1" applyBorder="1" applyAlignment="1">
      <alignment horizontal="center" wrapText="1"/>
    </xf>
    <xf numFmtId="3" fontId="3" fillId="0" borderId="5" xfId="0" applyNumberFormat="1" applyFont="1" applyFill="1" applyBorder="1" applyAlignment="1">
      <alignment horizontal="right" wrapText="1"/>
    </xf>
    <xf numFmtId="3" fontId="1" fillId="0" borderId="0" xfId="0" applyNumberFormat="1" applyFont="1" applyFill="1" applyBorder="1" applyAlignment="1">
      <alignment horizontal="center" wrapText="1"/>
    </xf>
    <xf numFmtId="3" fontId="1" fillId="0" borderId="0" xfId="0" applyNumberFormat="1" applyFont="1" applyFill="1" applyBorder="1" applyAlignment="1">
      <alignment wrapText="1"/>
    </xf>
    <xf numFmtId="0" fontId="3" fillId="0" borderId="14" xfId="0" applyFont="1" applyFill="1" applyBorder="1" applyAlignment="1">
      <alignment horizontal="center" vertical="center" wrapText="1"/>
    </xf>
    <xf numFmtId="0" fontId="6" fillId="0" borderId="0" xfId="0" applyFont="1" applyAlignment="1">
      <alignment/>
    </xf>
    <xf numFmtId="0" fontId="3" fillId="0" borderId="0" xfId="0" applyFont="1" applyFill="1" applyBorder="1" applyAlignment="1">
      <alignment horizontal="center" wrapText="1"/>
    </xf>
    <xf numFmtId="0" fontId="3" fillId="0" borderId="5" xfId="0" applyFont="1" applyFill="1" applyBorder="1" applyAlignment="1">
      <alignment wrapText="1"/>
    </xf>
    <xf numFmtId="0" fontId="1" fillId="0" borderId="5" xfId="0" applyFont="1" applyFill="1" applyBorder="1" applyAlignment="1">
      <alignment wrapText="1"/>
    </xf>
    <xf numFmtId="0" fontId="0" fillId="0" borderId="40" xfId="0" applyBorder="1" applyAlignment="1">
      <alignment/>
    </xf>
    <xf numFmtId="0" fontId="1" fillId="0" borderId="4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7" fillId="0" borderId="42" xfId="0" applyFont="1" applyFill="1" applyBorder="1" applyAlignment="1">
      <alignment horizontal="center" vertical="center" wrapText="1"/>
    </xf>
    <xf numFmtId="186" fontId="1" fillId="0" borderId="5" xfId="0" applyNumberFormat="1" applyFont="1" applyFill="1" applyBorder="1" applyAlignment="1">
      <alignment horizontal="center" wrapText="1"/>
    </xf>
    <xf numFmtId="186" fontId="1" fillId="2" borderId="5" xfId="0" applyNumberFormat="1" applyFont="1" applyFill="1" applyBorder="1" applyAlignment="1">
      <alignment horizontal="center" wrapText="1"/>
    </xf>
    <xf numFmtId="186" fontId="3" fillId="0" borderId="5" xfId="0" applyNumberFormat="1" applyFont="1" applyFill="1" applyBorder="1" applyAlignment="1">
      <alignment horizontal="center" wrapText="1"/>
    </xf>
    <xf numFmtId="186" fontId="3" fillId="0" borderId="5" xfId="0" applyNumberFormat="1"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4"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38"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6" xfId="0" applyFont="1" applyFill="1" applyBorder="1" applyAlignment="1">
      <alignment horizontal="center" vertical="center"/>
    </xf>
    <xf numFmtId="0" fontId="2" fillId="0" borderId="0" xfId="0" applyFont="1" applyFill="1" applyAlignment="1">
      <alignment horizontal="center" vertical="top"/>
    </xf>
    <xf numFmtId="49" fontId="1" fillId="0" borderId="3" xfId="0" applyNumberFormat="1" applyFont="1" applyFill="1" applyBorder="1" applyAlignment="1">
      <alignment horizontal="center" vertical="top" wrapText="1"/>
    </xf>
    <xf numFmtId="49" fontId="1" fillId="0" borderId="21"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0" fontId="1" fillId="0" borderId="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3" xfId="0" applyFont="1" applyFill="1" applyBorder="1" applyAlignment="1">
      <alignment horizontal="center" vertical="center"/>
    </xf>
    <xf numFmtId="0" fontId="1" fillId="0" borderId="45" xfId="0" applyFont="1" applyFill="1" applyBorder="1" applyAlignment="1">
      <alignment horizontal="center" vertical="center"/>
    </xf>
    <xf numFmtId="172" fontId="1" fillId="0" borderId="5" xfId="0" applyNumberFormat="1" applyFont="1" applyFill="1" applyBorder="1" applyAlignment="1">
      <alignment horizontal="center"/>
    </xf>
    <xf numFmtId="172" fontId="1" fillId="0" borderId="7" xfId="0" applyNumberFormat="1" applyFont="1" applyFill="1" applyBorder="1" applyAlignment="1">
      <alignment horizontal="center"/>
    </xf>
    <xf numFmtId="0" fontId="3" fillId="0" borderId="16" xfId="0" applyFont="1" applyFill="1" applyBorder="1" applyAlignment="1">
      <alignment horizontal="center" wrapText="1" shrinkToFit="1"/>
    </xf>
    <xf numFmtId="0" fontId="3" fillId="0" borderId="8" xfId="0" applyFont="1" applyFill="1" applyBorder="1" applyAlignment="1">
      <alignment horizontal="center" wrapText="1" shrinkToFit="1"/>
    </xf>
    <xf numFmtId="0" fontId="3" fillId="0" borderId="6" xfId="0" applyFont="1" applyFill="1" applyBorder="1" applyAlignment="1">
      <alignment horizontal="center" wrapText="1" shrinkToFit="1"/>
    </xf>
    <xf numFmtId="0" fontId="3" fillId="0" borderId="5" xfId="0" applyFont="1" applyFill="1" applyBorder="1" applyAlignment="1">
      <alignment horizontal="center" wrapText="1" shrinkToFit="1"/>
    </xf>
    <xf numFmtId="172" fontId="1" fillId="0" borderId="15" xfId="0" applyNumberFormat="1" applyFont="1" applyFill="1" applyBorder="1" applyAlignment="1">
      <alignment horizontal="center"/>
    </xf>
    <xf numFmtId="0" fontId="2" fillId="0" borderId="0" xfId="0" applyFont="1" applyFill="1" applyAlignment="1">
      <alignment horizontal="center" vertical="center"/>
    </xf>
    <xf numFmtId="49" fontId="1" fillId="0" borderId="3" xfId="0" applyNumberFormat="1" applyFont="1" applyFill="1" applyBorder="1" applyAlignment="1">
      <alignment horizontal="center" vertical="top"/>
    </xf>
    <xf numFmtId="49" fontId="1" fillId="0" borderId="2" xfId="0" applyNumberFormat="1" applyFont="1" applyFill="1" applyBorder="1" applyAlignment="1">
      <alignment horizontal="center" vertical="top"/>
    </xf>
    <xf numFmtId="0" fontId="1" fillId="0" borderId="3" xfId="0" applyFont="1" applyFill="1" applyBorder="1" applyAlignment="1">
      <alignment horizontal="center" wrapText="1" shrinkToFit="1"/>
    </xf>
    <xf numFmtId="0" fontId="1" fillId="0" borderId="21" xfId="0" applyFont="1" applyFill="1" applyBorder="1" applyAlignment="1">
      <alignment horizontal="center" wrapText="1" shrinkToFit="1"/>
    </xf>
    <xf numFmtId="0" fontId="1" fillId="0" borderId="4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33" xfId="0" applyFont="1" applyFill="1" applyBorder="1" applyAlignment="1">
      <alignment horizontal="center"/>
    </xf>
    <xf numFmtId="0" fontId="0" fillId="0" borderId="38" xfId="0" applyBorder="1" applyAlignment="1">
      <alignment horizont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0" xfId="0" applyFont="1" applyFill="1" applyAlignment="1">
      <alignment horizontal="left"/>
    </xf>
    <xf numFmtId="172" fontId="1" fillId="0" borderId="7" xfId="0" applyNumberFormat="1" applyFont="1" applyFill="1" applyBorder="1" applyAlignment="1">
      <alignment horizontal="right"/>
    </xf>
    <xf numFmtId="172" fontId="1" fillId="0" borderId="5" xfId="0" applyNumberFormat="1" applyFont="1" applyFill="1" applyBorder="1" applyAlignment="1">
      <alignment horizontal="right"/>
    </xf>
    <xf numFmtId="172" fontId="3" fillId="0" borderId="5" xfId="0" applyNumberFormat="1" applyFont="1" applyFill="1" applyBorder="1" applyAlignment="1">
      <alignment horizontal="right"/>
    </xf>
    <xf numFmtId="172" fontId="1" fillId="0" borderId="15" xfId="0" applyNumberFormat="1" applyFont="1" applyFill="1" applyBorder="1" applyAlignment="1">
      <alignment horizontal="right"/>
    </xf>
    <xf numFmtId="0" fontId="3" fillId="0" borderId="16" xfId="0" applyFont="1" applyFill="1" applyBorder="1" applyAlignment="1">
      <alignment horizontal="center" wrapText="1"/>
    </xf>
    <xf numFmtId="0" fontId="3" fillId="0" borderId="8" xfId="0" applyFont="1" applyFill="1" applyBorder="1" applyAlignment="1">
      <alignment horizontal="center" wrapText="1"/>
    </xf>
    <xf numFmtId="0" fontId="1" fillId="0" borderId="0" xfId="0" applyFont="1" applyFill="1" applyBorder="1" applyAlignment="1">
      <alignment/>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1" fillId="0" borderId="0" xfId="0" applyFont="1" applyFill="1" applyAlignment="1">
      <alignment horizontal="center"/>
    </xf>
    <xf numFmtId="0" fontId="1" fillId="0" borderId="0" xfId="0" applyFont="1" applyFill="1" applyBorder="1" applyAlignment="1">
      <alignment horizontal="left"/>
    </xf>
    <xf numFmtId="0" fontId="1" fillId="0" borderId="1" xfId="0" applyFont="1" applyFill="1" applyBorder="1" applyAlignment="1">
      <alignment horizontal="right"/>
    </xf>
    <xf numFmtId="0" fontId="5" fillId="0" borderId="3"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4" fillId="0" borderId="33"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21" xfId="0" applyFont="1" applyFill="1" applyBorder="1" applyAlignment="1">
      <alignment horizontal="center" vertical="center" wrapText="1"/>
    </xf>
    <xf numFmtId="172" fontId="1" fillId="0" borderId="7" xfId="0" applyNumberFormat="1" applyFont="1" applyFill="1" applyBorder="1" applyAlignment="1">
      <alignment/>
    </xf>
    <xf numFmtId="0" fontId="7" fillId="0" borderId="16"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172" fontId="1" fillId="0" borderId="14" xfId="0" applyNumberFormat="1" applyFont="1" applyFill="1" applyBorder="1" applyAlignment="1">
      <alignment horizontal="right"/>
    </xf>
    <xf numFmtId="172" fontId="1" fillId="0" borderId="13" xfId="0" applyNumberFormat="1" applyFont="1" applyFill="1" applyBorder="1" applyAlignment="1">
      <alignment horizontal="right"/>
    </xf>
    <xf numFmtId="172" fontId="2" fillId="0" borderId="3" xfId="0" applyNumberFormat="1" applyFont="1" applyFill="1" applyBorder="1" applyAlignment="1">
      <alignment horizontal="center" vertical="center"/>
    </xf>
    <xf numFmtId="172" fontId="2" fillId="0" borderId="21" xfId="0" applyNumberFormat="1" applyFont="1" applyFill="1" applyBorder="1" applyAlignment="1">
      <alignment horizontal="center" vertical="center"/>
    </xf>
    <xf numFmtId="172" fontId="2" fillId="0" borderId="2" xfId="0" applyNumberFormat="1" applyFont="1" applyFill="1" applyBorder="1" applyAlignment="1">
      <alignment horizontal="center" vertical="center"/>
    </xf>
    <xf numFmtId="0" fontId="15" fillId="0" borderId="0" xfId="0" applyFont="1" applyFill="1" applyAlignment="1">
      <alignment horizontal="left"/>
    </xf>
    <xf numFmtId="0" fontId="3" fillId="0" borderId="21" xfId="0" applyFont="1" applyFill="1" applyBorder="1" applyAlignment="1">
      <alignment horizontal="center" vertical="center" wrapText="1"/>
    </xf>
    <xf numFmtId="9" fontId="3" fillId="0" borderId="3" xfId="0" applyNumberFormat="1" applyFont="1" applyFill="1" applyBorder="1" applyAlignment="1">
      <alignment horizontal="center" vertical="center" wrapText="1"/>
    </xf>
    <xf numFmtId="9" fontId="3" fillId="0" borderId="21"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5" xfId="0" applyFont="1" applyFill="1" applyBorder="1" applyAlignment="1">
      <alignment horizontal="center"/>
    </xf>
    <xf numFmtId="0" fontId="3" fillId="0" borderId="43" xfId="0" applyFont="1" applyFill="1" applyBorder="1" applyAlignment="1">
      <alignment horizontal="center"/>
    </xf>
    <xf numFmtId="9" fontId="3" fillId="0" borderId="45" xfId="0" applyNumberFormat="1" applyFont="1" applyFill="1" applyBorder="1" applyAlignment="1">
      <alignment horizontal="center" vertical="center" wrapText="1"/>
    </xf>
    <xf numFmtId="9" fontId="3" fillId="0" borderId="43" xfId="0" applyNumberFormat="1" applyFont="1" applyFill="1" applyBorder="1" applyAlignment="1">
      <alignment horizontal="center" vertical="center" wrapText="1"/>
    </xf>
    <xf numFmtId="0" fontId="2" fillId="0" borderId="0" xfId="0" applyFont="1" applyFill="1" applyAlignment="1">
      <alignment horizontal="center" wrapText="1"/>
    </xf>
    <xf numFmtId="0" fontId="16" fillId="0" borderId="0" xfId="0" applyFont="1" applyAlignment="1">
      <alignment horizontal="center" vertical="center" wrapText="1"/>
    </xf>
    <xf numFmtId="9" fontId="3" fillId="0" borderId="0" xfId="0" applyNumberFormat="1" applyFont="1" applyFill="1" applyBorder="1" applyAlignment="1">
      <alignment horizontal="center" vertical="center" wrapText="1"/>
    </xf>
    <xf numFmtId="0" fontId="1" fillId="0" borderId="37" xfId="0" applyFont="1" applyBorder="1" applyAlignment="1">
      <alignment vertical="center"/>
    </xf>
    <xf numFmtId="0" fontId="1" fillId="0" borderId="34" xfId="0" applyFont="1" applyBorder="1" applyAlignment="1">
      <alignment vertical="center"/>
    </xf>
    <xf numFmtId="0" fontId="0" fillId="0" borderId="0" xfId="0" applyFont="1" applyAlignment="1">
      <alignment horizontal="center"/>
    </xf>
    <xf numFmtId="0" fontId="0" fillId="0" borderId="0" xfId="0" applyAlignment="1">
      <alignment/>
    </xf>
    <xf numFmtId="186" fontId="3" fillId="0" borderId="15" xfId="0" applyNumberFormat="1" applyFont="1" applyFill="1" applyBorder="1" applyAlignment="1">
      <alignment horizontal="center" vertical="center" wrapText="1"/>
    </xf>
    <xf numFmtId="0" fontId="1" fillId="0" borderId="13" xfId="0" applyFont="1" applyFill="1" applyBorder="1" applyAlignment="1">
      <alignment horizontal="left" wrapText="1"/>
    </xf>
    <xf numFmtId="0" fontId="1" fillId="0" borderId="5" xfId="0" applyFont="1" applyFill="1" applyBorder="1" applyAlignment="1">
      <alignment horizontal="left"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wrapText="1" shrinkToFit="1"/>
    </xf>
    <xf numFmtId="0" fontId="1" fillId="0" borderId="0" xfId="0" applyFont="1" applyFill="1" applyAlignment="1">
      <alignment/>
    </xf>
    <xf numFmtId="0" fontId="1" fillId="0" borderId="5" xfId="0"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0" xfId="0" applyFont="1" applyFill="1" applyBorder="1" applyAlignment="1">
      <alignment horizontal="center" wrapText="1"/>
    </xf>
    <xf numFmtId="0" fontId="3" fillId="0" borderId="47" xfId="0" applyFont="1" applyFill="1" applyBorder="1" applyAlignment="1">
      <alignment horizontal="center" vertical="center" wrapText="1"/>
    </xf>
    <xf numFmtId="0" fontId="1" fillId="0" borderId="23" xfId="0" applyFont="1" applyFill="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9525</xdr:rowOff>
    </xdr:from>
    <xdr:to>
      <xdr:col>3</xdr:col>
      <xdr:colOff>0</xdr:colOff>
      <xdr:row>12</xdr:row>
      <xdr:rowOff>0</xdr:rowOff>
    </xdr:to>
    <xdr:sp>
      <xdr:nvSpPr>
        <xdr:cNvPr id="1" name="Line 1"/>
        <xdr:cNvSpPr>
          <a:spLocks/>
        </xdr:cNvSpPr>
      </xdr:nvSpPr>
      <xdr:spPr>
        <a:xfrm>
          <a:off x="247650" y="1733550"/>
          <a:ext cx="2114550" cy="1209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89"/>
  <sheetViews>
    <sheetView view="pageBreakPreview" zoomScale="75" zoomScaleNormal="75" zoomScaleSheetLayoutView="75" workbookViewId="0" topLeftCell="A62">
      <selection activeCell="C15" sqref="C15"/>
    </sheetView>
  </sheetViews>
  <sheetFormatPr defaultColWidth="9.00390625" defaultRowHeight="12.75"/>
  <cols>
    <col min="1" max="1" width="10.75390625" style="104" customWidth="1"/>
    <col min="2" max="2" width="57.75390625" style="105" customWidth="1"/>
    <col min="3" max="3" width="10.375" style="48" customWidth="1"/>
    <col min="4" max="4" width="9.375" style="48" customWidth="1"/>
    <col min="5" max="5" width="9.125" style="48" customWidth="1"/>
    <col min="6" max="6" width="11.375" style="48" customWidth="1"/>
    <col min="7" max="10" width="9.375" style="48" bestFit="1" customWidth="1"/>
    <col min="11" max="16384" width="9.125" style="48" customWidth="1"/>
  </cols>
  <sheetData>
    <row r="1" spans="2:6" ht="12.75">
      <c r="B1" s="48"/>
      <c r="D1" s="316" t="s">
        <v>222</v>
      </c>
      <c r="E1" s="316"/>
      <c r="F1" s="316"/>
    </row>
    <row r="2" spans="4:6" ht="12.75">
      <c r="D2" s="316" t="s">
        <v>77</v>
      </c>
      <c r="E2" s="316"/>
      <c r="F2" s="316"/>
    </row>
    <row r="3" spans="4:6" ht="12.75">
      <c r="D3" s="316" t="s">
        <v>61</v>
      </c>
      <c r="E3" s="316"/>
      <c r="F3" s="316"/>
    </row>
    <row r="4" spans="5:6" ht="14.25" customHeight="1">
      <c r="E4" s="316"/>
      <c r="F4" s="316"/>
    </row>
    <row r="5" ht="3.75" customHeight="1" hidden="1"/>
    <row r="6" spans="1:6" ht="15" customHeight="1">
      <c r="A6" s="305" t="s">
        <v>392</v>
      </c>
      <c r="B6" s="305"/>
      <c r="C6" s="305"/>
      <c r="D6" s="305"/>
      <c r="E6" s="305"/>
      <c r="F6" s="305"/>
    </row>
    <row r="7" ht="12.75" customHeight="1">
      <c r="F7" s="3" t="s">
        <v>263</v>
      </c>
    </row>
    <row r="8" ht="12.75" thickBot="1"/>
    <row r="9" ht="12" customHeight="1" hidden="1"/>
    <row r="10" spans="1:6" ht="13.5" thickBot="1">
      <c r="A10" s="306" t="s">
        <v>223</v>
      </c>
      <c r="B10" s="308" t="s">
        <v>224</v>
      </c>
      <c r="C10" s="310" t="s">
        <v>225</v>
      </c>
      <c r="D10" s="312" t="s">
        <v>393</v>
      </c>
      <c r="E10" s="313"/>
      <c r="F10" s="314" t="s">
        <v>84</v>
      </c>
    </row>
    <row r="11" spans="1:6" ht="39" thickBot="1">
      <c r="A11" s="307"/>
      <c r="B11" s="309"/>
      <c r="C11" s="311"/>
      <c r="D11" s="106" t="s">
        <v>84</v>
      </c>
      <c r="E11" s="107" t="s">
        <v>226</v>
      </c>
      <c r="F11" s="315"/>
    </row>
    <row r="12" spans="1:6" ht="13.5" thickBot="1">
      <c r="A12" s="108">
        <v>1</v>
      </c>
      <c r="B12" s="109">
        <v>2</v>
      </c>
      <c r="C12" s="110">
        <v>3</v>
      </c>
      <c r="D12" s="110">
        <v>4</v>
      </c>
      <c r="E12" s="110">
        <v>5</v>
      </c>
      <c r="F12" s="110" t="s">
        <v>227</v>
      </c>
    </row>
    <row r="13" spans="1:7" s="112" customFormat="1" ht="13.5" thickBot="1">
      <c r="A13" s="181">
        <v>10000000</v>
      </c>
      <c r="B13" s="182" t="s">
        <v>228</v>
      </c>
      <c r="C13" s="183">
        <f>C14+C20+C22</f>
        <v>598581.7</v>
      </c>
      <c r="D13" s="183">
        <f>D18+D22</f>
        <v>33500</v>
      </c>
      <c r="E13" s="183" t="s">
        <v>229</v>
      </c>
      <c r="F13" s="184">
        <f>C13+D13</f>
        <v>632081.7</v>
      </c>
      <c r="G13" s="111"/>
    </row>
    <row r="14" spans="1:6" ht="25.5">
      <c r="A14" s="113">
        <v>11000000</v>
      </c>
      <c r="B14" s="114" t="s">
        <v>230</v>
      </c>
      <c r="C14" s="115">
        <f>C15+C16</f>
        <v>493165.7</v>
      </c>
      <c r="D14" s="115" t="s">
        <v>229</v>
      </c>
      <c r="E14" s="115" t="s">
        <v>229</v>
      </c>
      <c r="F14" s="116">
        <f>F15+F16</f>
        <v>493165.7</v>
      </c>
    </row>
    <row r="15" spans="1:6" ht="12.75">
      <c r="A15" s="70">
        <v>11010000</v>
      </c>
      <c r="B15" s="46" t="s">
        <v>231</v>
      </c>
      <c r="C15" s="117">
        <f>492735.7</f>
        <v>492735.7</v>
      </c>
      <c r="D15" s="47" t="s">
        <v>229</v>
      </c>
      <c r="E15" s="47" t="s">
        <v>229</v>
      </c>
      <c r="F15" s="118">
        <f>C15</f>
        <v>492735.7</v>
      </c>
    </row>
    <row r="16" spans="1:6" ht="12.75">
      <c r="A16" s="70">
        <v>11020000</v>
      </c>
      <c r="B16" s="46" t="s">
        <v>232</v>
      </c>
      <c r="C16" s="47">
        <f>C17</f>
        <v>430</v>
      </c>
      <c r="D16" s="47" t="s">
        <v>229</v>
      </c>
      <c r="E16" s="47" t="s">
        <v>229</v>
      </c>
      <c r="F16" s="118">
        <f>C16</f>
        <v>430</v>
      </c>
    </row>
    <row r="17" spans="1:6" ht="25.5">
      <c r="A17" s="70">
        <v>11020200</v>
      </c>
      <c r="B17" s="46" t="s">
        <v>233</v>
      </c>
      <c r="C17" s="117">
        <v>430</v>
      </c>
      <c r="D17" s="47" t="s">
        <v>229</v>
      </c>
      <c r="E17" s="47" t="s">
        <v>229</v>
      </c>
      <c r="F17" s="118">
        <f>C17</f>
        <v>430</v>
      </c>
    </row>
    <row r="18" spans="1:6" ht="12.75">
      <c r="A18" s="70">
        <v>12000000</v>
      </c>
      <c r="B18" s="46" t="s">
        <v>234</v>
      </c>
      <c r="C18" s="47" t="s">
        <v>229</v>
      </c>
      <c r="D18" s="47">
        <f>D19</f>
        <v>32200</v>
      </c>
      <c r="E18" s="47" t="s">
        <v>229</v>
      </c>
      <c r="F18" s="118">
        <f>F19</f>
        <v>32200</v>
      </c>
    </row>
    <row r="19" spans="1:6" ht="25.5">
      <c r="A19" s="70">
        <v>12020000</v>
      </c>
      <c r="B19" s="46" t="s">
        <v>235</v>
      </c>
      <c r="C19" s="47" t="s">
        <v>229</v>
      </c>
      <c r="D19" s="117">
        <f>34750-2550</f>
        <v>32200</v>
      </c>
      <c r="E19" s="47" t="s">
        <v>229</v>
      </c>
      <c r="F19" s="118">
        <f>D19</f>
        <v>32200</v>
      </c>
    </row>
    <row r="20" spans="1:6" ht="16.5" customHeight="1">
      <c r="A20" s="70">
        <v>13000000</v>
      </c>
      <c r="B20" s="46" t="s">
        <v>236</v>
      </c>
      <c r="C20" s="47">
        <f>C21</f>
        <v>76000</v>
      </c>
      <c r="D20" s="47" t="s">
        <v>229</v>
      </c>
      <c r="E20" s="47" t="s">
        <v>229</v>
      </c>
      <c r="F20" s="118">
        <f>F21</f>
        <v>76000</v>
      </c>
    </row>
    <row r="21" spans="1:6" ht="12.75">
      <c r="A21" s="70">
        <v>13050000</v>
      </c>
      <c r="B21" s="46" t="s">
        <v>237</v>
      </c>
      <c r="C21" s="117">
        <v>76000</v>
      </c>
      <c r="D21" s="47" t="s">
        <v>229</v>
      </c>
      <c r="E21" s="47" t="s">
        <v>229</v>
      </c>
      <c r="F21" s="118">
        <f>C21</f>
        <v>76000</v>
      </c>
    </row>
    <row r="22" spans="1:6" ht="13.5" customHeight="1">
      <c r="A22" s="70">
        <v>14000000</v>
      </c>
      <c r="B22" s="46" t="s">
        <v>238</v>
      </c>
      <c r="C22" s="47">
        <f>C23+C24+C26+C25</f>
        <v>29416</v>
      </c>
      <c r="D22" s="47">
        <f>D27</f>
        <v>1300</v>
      </c>
      <c r="E22" s="47" t="s">
        <v>229</v>
      </c>
      <c r="F22" s="118">
        <f>C22+D22</f>
        <v>30716</v>
      </c>
    </row>
    <row r="23" spans="1:6" ht="12.75">
      <c r="A23" s="70">
        <v>14060200</v>
      </c>
      <c r="B23" s="46" t="s">
        <v>239</v>
      </c>
      <c r="C23" s="117">
        <v>380</v>
      </c>
      <c r="D23" s="47" t="s">
        <v>229</v>
      </c>
      <c r="E23" s="47" t="s">
        <v>229</v>
      </c>
      <c r="F23" s="118">
        <f>C23</f>
        <v>380</v>
      </c>
    </row>
    <row r="24" spans="1:6" ht="25.5">
      <c r="A24" s="70">
        <v>14060300</v>
      </c>
      <c r="B24" s="46" t="s">
        <v>240</v>
      </c>
      <c r="C24" s="117">
        <v>23</v>
      </c>
      <c r="D24" s="47" t="s">
        <v>229</v>
      </c>
      <c r="E24" s="47" t="s">
        <v>229</v>
      </c>
      <c r="F24" s="118">
        <f>C24</f>
        <v>23</v>
      </c>
    </row>
    <row r="25" spans="1:6" ht="25.5">
      <c r="A25" s="70" t="s">
        <v>394</v>
      </c>
      <c r="B25" s="46" t="s">
        <v>395</v>
      </c>
      <c r="C25" s="117">
        <v>13</v>
      </c>
      <c r="D25" s="47" t="s">
        <v>229</v>
      </c>
      <c r="E25" s="47" t="s">
        <v>229</v>
      </c>
      <c r="F25" s="118">
        <f>C25</f>
        <v>13</v>
      </c>
    </row>
    <row r="26" spans="1:6" ht="25.5">
      <c r="A26" s="70">
        <v>14061100</v>
      </c>
      <c r="B26" s="46" t="s">
        <v>241</v>
      </c>
      <c r="C26" s="117">
        <v>29000</v>
      </c>
      <c r="D26" s="47" t="s">
        <v>229</v>
      </c>
      <c r="E26" s="47" t="s">
        <v>229</v>
      </c>
      <c r="F26" s="118">
        <f>C26</f>
        <v>29000</v>
      </c>
    </row>
    <row r="27" spans="1:6" ht="25.5">
      <c r="A27" s="70">
        <v>14070000</v>
      </c>
      <c r="B27" s="46" t="s">
        <v>242</v>
      </c>
      <c r="C27" s="47" t="s">
        <v>229</v>
      </c>
      <c r="D27" s="47">
        <f>D28</f>
        <v>1300</v>
      </c>
      <c r="E27" s="47" t="s">
        <v>229</v>
      </c>
      <c r="F27" s="118">
        <f>F28</f>
        <v>1300</v>
      </c>
    </row>
    <row r="28" spans="1:6" ht="38.25">
      <c r="A28" s="70">
        <v>14071500</v>
      </c>
      <c r="B28" s="46" t="s">
        <v>243</v>
      </c>
      <c r="C28" s="47" t="s">
        <v>229</v>
      </c>
      <c r="D28" s="117">
        <v>1300</v>
      </c>
      <c r="E28" s="47" t="s">
        <v>229</v>
      </c>
      <c r="F28" s="118">
        <f>D28</f>
        <v>1300</v>
      </c>
    </row>
    <row r="29" spans="1:6" s="112" customFormat="1" ht="12.75">
      <c r="A29" s="69">
        <v>20000000</v>
      </c>
      <c r="B29" s="119" t="s">
        <v>244</v>
      </c>
      <c r="C29" s="120">
        <f>C30+C33+C35+C38</f>
        <v>11482.3</v>
      </c>
      <c r="D29" s="120">
        <f>D32+D38+D43</f>
        <v>24469.6</v>
      </c>
      <c r="E29" s="120" t="s">
        <v>229</v>
      </c>
      <c r="F29" s="121">
        <f>C29+D29</f>
        <v>35951.899999999994</v>
      </c>
    </row>
    <row r="30" spans="1:6" ht="13.5" customHeight="1">
      <c r="A30" s="70">
        <v>21000000</v>
      </c>
      <c r="B30" s="46" t="s">
        <v>245</v>
      </c>
      <c r="C30" s="47">
        <f>C31</f>
        <v>9100</v>
      </c>
      <c r="D30" s="47" t="str">
        <f>D31</f>
        <v>Х</v>
      </c>
      <c r="E30" s="47" t="s">
        <v>229</v>
      </c>
      <c r="F30" s="118">
        <f>C30</f>
        <v>9100</v>
      </c>
    </row>
    <row r="31" spans="1:6" ht="26.25" customHeight="1">
      <c r="A31" s="70">
        <v>21040000</v>
      </c>
      <c r="B31" s="46" t="s">
        <v>396</v>
      </c>
      <c r="C31" s="47">
        <v>9100</v>
      </c>
      <c r="D31" s="47" t="s">
        <v>229</v>
      </c>
      <c r="E31" s="47" t="s">
        <v>229</v>
      </c>
      <c r="F31" s="118">
        <f>C31</f>
        <v>9100</v>
      </c>
    </row>
    <row r="32" spans="1:6" ht="25.5">
      <c r="A32" s="70">
        <v>21110000</v>
      </c>
      <c r="B32" s="46" t="s">
        <v>246</v>
      </c>
      <c r="C32" s="47" t="s">
        <v>229</v>
      </c>
      <c r="D32" s="47">
        <v>821</v>
      </c>
      <c r="E32" s="47" t="s">
        <v>229</v>
      </c>
      <c r="F32" s="118">
        <f>D32</f>
        <v>821</v>
      </c>
    </row>
    <row r="33" spans="1:8" ht="25.5">
      <c r="A33" s="70">
        <v>22000000</v>
      </c>
      <c r="B33" s="46" t="s">
        <v>247</v>
      </c>
      <c r="C33" s="47">
        <f>C34</f>
        <v>2100</v>
      </c>
      <c r="D33" s="47" t="s">
        <v>229</v>
      </c>
      <c r="E33" s="47" t="s">
        <v>229</v>
      </c>
      <c r="F33" s="118">
        <f>C33</f>
        <v>2100</v>
      </c>
      <c r="H33" s="50"/>
    </row>
    <row r="34" spans="1:6" ht="24.75" customHeight="1">
      <c r="A34" s="70">
        <v>22080000</v>
      </c>
      <c r="B34" s="122" t="s">
        <v>397</v>
      </c>
      <c r="C34" s="117">
        <v>2100</v>
      </c>
      <c r="D34" s="47" t="s">
        <v>229</v>
      </c>
      <c r="E34" s="47" t="s">
        <v>229</v>
      </c>
      <c r="F34" s="118">
        <f>C34</f>
        <v>2100</v>
      </c>
    </row>
    <row r="35" spans="1:6" ht="12.75">
      <c r="A35" s="70">
        <v>23000000</v>
      </c>
      <c r="B35" s="46" t="s">
        <v>248</v>
      </c>
      <c r="C35" s="47">
        <f>C37</f>
        <v>30</v>
      </c>
      <c r="D35" s="47" t="s">
        <v>229</v>
      </c>
      <c r="E35" s="47" t="s">
        <v>229</v>
      </c>
      <c r="F35" s="118">
        <f>C35</f>
        <v>30</v>
      </c>
    </row>
    <row r="36" spans="1:6" ht="63.75" hidden="1">
      <c r="A36" s="70">
        <v>23020000</v>
      </c>
      <c r="B36" s="46" t="s">
        <v>260</v>
      </c>
      <c r="C36" s="123" t="s">
        <v>229</v>
      </c>
      <c r="D36" s="123" t="s">
        <v>229</v>
      </c>
      <c r="E36" s="123" t="s">
        <v>229</v>
      </c>
      <c r="F36" s="124" t="s">
        <v>229</v>
      </c>
    </row>
    <row r="37" spans="1:6" ht="12.75">
      <c r="A37" s="70">
        <v>23030000</v>
      </c>
      <c r="B37" s="46" t="s">
        <v>249</v>
      </c>
      <c r="C37" s="117">
        <v>30</v>
      </c>
      <c r="D37" s="47" t="s">
        <v>229</v>
      </c>
      <c r="E37" s="47" t="s">
        <v>229</v>
      </c>
      <c r="F37" s="118">
        <f>C37</f>
        <v>30</v>
      </c>
    </row>
    <row r="38" spans="1:6" ht="12.75">
      <c r="A38" s="70">
        <v>24000000</v>
      </c>
      <c r="B38" s="46" t="s">
        <v>250</v>
      </c>
      <c r="C38" s="117">
        <f>C41</f>
        <v>252.3</v>
      </c>
      <c r="D38" s="47">
        <f>D42</f>
        <v>20</v>
      </c>
      <c r="E38" s="47" t="s">
        <v>229</v>
      </c>
      <c r="F38" s="118">
        <f>C38+D38</f>
        <v>272.3</v>
      </c>
    </row>
    <row r="39" spans="1:6" ht="12.75" hidden="1">
      <c r="A39" s="70"/>
      <c r="B39" s="46"/>
      <c r="C39" s="47">
        <v>0</v>
      </c>
      <c r="D39" s="47" t="s">
        <v>229</v>
      </c>
      <c r="E39" s="47" t="s">
        <v>229</v>
      </c>
      <c r="F39" s="118">
        <v>0</v>
      </c>
    </row>
    <row r="40" spans="1:6" ht="38.25" hidden="1">
      <c r="A40" s="70">
        <v>24030000</v>
      </c>
      <c r="B40" s="46" t="s">
        <v>261</v>
      </c>
      <c r="C40" s="123" t="s">
        <v>229</v>
      </c>
      <c r="D40" s="123" t="s">
        <v>229</v>
      </c>
      <c r="E40" s="123" t="s">
        <v>229</v>
      </c>
      <c r="F40" s="124" t="s">
        <v>229</v>
      </c>
    </row>
    <row r="41" spans="1:6" ht="12.75">
      <c r="A41" s="70">
        <v>24060300</v>
      </c>
      <c r="B41" s="46" t="s">
        <v>251</v>
      </c>
      <c r="C41" s="47">
        <f>252+0.3</f>
        <v>252.3</v>
      </c>
      <c r="D41" s="47" t="s">
        <v>229</v>
      </c>
      <c r="E41" s="47" t="s">
        <v>229</v>
      </c>
      <c r="F41" s="118">
        <f>C41</f>
        <v>252.3</v>
      </c>
    </row>
    <row r="42" spans="1:6" ht="14.25" customHeight="1">
      <c r="A42" s="70" t="s">
        <v>398</v>
      </c>
      <c r="B42" s="122" t="s">
        <v>399</v>
      </c>
      <c r="C42" s="47" t="s">
        <v>229</v>
      </c>
      <c r="D42" s="47">
        <v>20</v>
      </c>
      <c r="E42" s="125" t="s">
        <v>229</v>
      </c>
      <c r="F42" s="118">
        <f>D42</f>
        <v>20</v>
      </c>
    </row>
    <row r="43" spans="1:6" ht="12.75">
      <c r="A43" s="70">
        <v>25000000</v>
      </c>
      <c r="B43" s="46" t="s">
        <v>252</v>
      </c>
      <c r="C43" s="47" t="s">
        <v>229</v>
      </c>
      <c r="D43" s="117">
        <v>23628.6</v>
      </c>
      <c r="E43" s="47" t="s">
        <v>229</v>
      </c>
      <c r="F43" s="118">
        <f>D43</f>
        <v>23628.6</v>
      </c>
    </row>
    <row r="44" spans="1:6" s="112" customFormat="1" ht="38.25">
      <c r="A44" s="70">
        <v>31030000</v>
      </c>
      <c r="B44" s="46" t="s">
        <v>253</v>
      </c>
      <c r="C44" s="47" t="s">
        <v>229</v>
      </c>
      <c r="D44" s="117">
        <v>1000</v>
      </c>
      <c r="E44" s="117">
        <f>D44</f>
        <v>1000</v>
      </c>
      <c r="F44" s="118">
        <f>D44</f>
        <v>1000</v>
      </c>
    </row>
    <row r="45" spans="1:6" s="112" customFormat="1" ht="12.75">
      <c r="A45" s="70">
        <v>50000000</v>
      </c>
      <c r="B45" s="46" t="s">
        <v>132</v>
      </c>
      <c r="C45" s="47" t="s">
        <v>229</v>
      </c>
      <c r="D45" s="47">
        <f>D46</f>
        <v>45500</v>
      </c>
      <c r="E45" s="47" t="s">
        <v>229</v>
      </c>
      <c r="F45" s="118">
        <f>D45</f>
        <v>45500</v>
      </c>
    </row>
    <row r="46" spans="1:6" ht="12.75">
      <c r="A46" s="70">
        <v>50080000</v>
      </c>
      <c r="B46" s="46" t="s">
        <v>254</v>
      </c>
      <c r="C46" s="47" t="s">
        <v>229</v>
      </c>
      <c r="D46" s="117">
        <v>45500</v>
      </c>
      <c r="E46" s="47" t="s">
        <v>229</v>
      </c>
      <c r="F46" s="118">
        <f>D46</f>
        <v>45500</v>
      </c>
    </row>
    <row r="47" spans="1:8" s="112" customFormat="1" ht="12.75">
      <c r="A47" s="302" t="s">
        <v>255</v>
      </c>
      <c r="B47" s="303"/>
      <c r="C47" s="125">
        <f>C13+C29</f>
        <v>610064</v>
      </c>
      <c r="D47" s="125">
        <f>D13+D29+D44+D45</f>
        <v>104469.6</v>
      </c>
      <c r="E47" s="120">
        <f>E44</f>
        <v>1000</v>
      </c>
      <c r="F47" s="121">
        <f>C47+D47</f>
        <v>714533.6</v>
      </c>
      <c r="H47" s="126"/>
    </row>
    <row r="48" spans="1:6" s="112" customFormat="1" ht="12.75">
      <c r="A48" s="69"/>
      <c r="B48" s="119"/>
      <c r="C48" s="125"/>
      <c r="D48" s="125"/>
      <c r="E48" s="120"/>
      <c r="F48" s="121"/>
    </row>
    <row r="49" spans="1:6" ht="12.75">
      <c r="A49" s="69">
        <v>40000000</v>
      </c>
      <c r="B49" s="119" t="s">
        <v>256</v>
      </c>
      <c r="C49" s="120">
        <f>C50+C54+C52+C53+C51</f>
        <v>486205.6</v>
      </c>
      <c r="D49" s="120">
        <f>D54+D74</f>
        <v>53953.9</v>
      </c>
      <c r="E49" s="120">
        <f>E54+E74</f>
        <v>53953.9</v>
      </c>
      <c r="F49" s="121">
        <f>C49+D49</f>
        <v>540159.5</v>
      </c>
    </row>
    <row r="50" spans="1:6" ht="51" customHeight="1">
      <c r="A50" s="70">
        <v>41020600</v>
      </c>
      <c r="B50" s="46" t="s">
        <v>325</v>
      </c>
      <c r="C50" s="47">
        <v>19197.8</v>
      </c>
      <c r="D50" s="47" t="s">
        <v>229</v>
      </c>
      <c r="E50" s="47" t="s">
        <v>229</v>
      </c>
      <c r="F50" s="118">
        <f>C50</f>
        <v>19197.8</v>
      </c>
    </row>
    <row r="51" spans="1:6" ht="63.75" customHeight="1" hidden="1">
      <c r="A51" s="70" t="s">
        <v>400</v>
      </c>
      <c r="B51" s="46" t="s">
        <v>327</v>
      </c>
      <c r="C51" s="47"/>
      <c r="D51" s="47"/>
      <c r="E51" s="47"/>
      <c r="F51" s="118">
        <f>C51</f>
        <v>0</v>
      </c>
    </row>
    <row r="52" spans="1:6" ht="63.75" hidden="1">
      <c r="A52" s="70" t="s">
        <v>401</v>
      </c>
      <c r="B52" s="46" t="s">
        <v>329</v>
      </c>
      <c r="C52" s="47"/>
      <c r="D52" s="47"/>
      <c r="E52" s="47"/>
      <c r="F52" s="118">
        <f>C52</f>
        <v>0</v>
      </c>
    </row>
    <row r="53" spans="1:6" ht="51" hidden="1">
      <c r="A53" s="70" t="s">
        <v>402</v>
      </c>
      <c r="B53" s="127" t="s">
        <v>403</v>
      </c>
      <c r="C53" s="47"/>
      <c r="D53" s="47"/>
      <c r="E53" s="47"/>
      <c r="F53" s="118">
        <f>C53</f>
        <v>0</v>
      </c>
    </row>
    <row r="54" spans="1:6" ht="12.75">
      <c r="A54" s="69">
        <v>41030000</v>
      </c>
      <c r="B54" s="119" t="s">
        <v>257</v>
      </c>
      <c r="C54" s="120">
        <f>C57+C58+C59+C61+C63+C64+C65+C66+C67+C68+C56+C55+C69+C70+C71+C72+C73</f>
        <v>467007.8</v>
      </c>
      <c r="D54" s="120">
        <f>D57+D58+D59+D61+D63+D64+D65+D66+D67+D68+D56+D55+D69+D70</f>
        <v>0</v>
      </c>
      <c r="E54" s="120">
        <f>E57+E58+E59+E61+E63+E64+E65+E66+E67+E68+E56+E55+E69+E70</f>
        <v>0</v>
      </c>
      <c r="F54" s="121">
        <f aca="true" t="shared" si="0" ref="F54:F59">C54+D54</f>
        <v>467007.8</v>
      </c>
    </row>
    <row r="55" spans="1:6" ht="25.5" hidden="1">
      <c r="A55" s="70" t="s">
        <v>404</v>
      </c>
      <c r="B55" s="46" t="s">
        <v>331</v>
      </c>
      <c r="C55" s="47"/>
      <c r="D55" s="47"/>
      <c r="E55" s="47"/>
      <c r="F55" s="118">
        <f t="shared" si="0"/>
        <v>0</v>
      </c>
    </row>
    <row r="56" spans="1:6" ht="25.5">
      <c r="A56" s="70" t="s">
        <v>405</v>
      </c>
      <c r="B56" s="46" t="s">
        <v>406</v>
      </c>
      <c r="C56" s="47">
        <v>8254.7</v>
      </c>
      <c r="D56" s="47">
        <f>E56</f>
        <v>0</v>
      </c>
      <c r="E56" s="47"/>
      <c r="F56" s="118">
        <f t="shared" si="0"/>
        <v>8254.7</v>
      </c>
    </row>
    <row r="57" spans="1:6" ht="42.75" customHeight="1">
      <c r="A57" s="70" t="s">
        <v>407</v>
      </c>
      <c r="B57" s="46" t="s">
        <v>333</v>
      </c>
      <c r="C57" s="47">
        <v>135671.6</v>
      </c>
      <c r="D57" s="47"/>
      <c r="E57" s="47"/>
      <c r="F57" s="118">
        <f t="shared" si="0"/>
        <v>135671.6</v>
      </c>
    </row>
    <row r="58" spans="1:6" ht="96.75" customHeight="1">
      <c r="A58" s="70">
        <v>41030700</v>
      </c>
      <c r="B58" s="188" t="s">
        <v>434</v>
      </c>
      <c r="C58" s="47">
        <v>3891.4</v>
      </c>
      <c r="D58" s="47"/>
      <c r="E58" s="47"/>
      <c r="F58" s="118">
        <f t="shared" si="0"/>
        <v>3891.4</v>
      </c>
    </row>
    <row r="59" spans="1:6" ht="111" customHeight="1">
      <c r="A59" s="174" t="s">
        <v>408</v>
      </c>
      <c r="B59" s="189" t="s">
        <v>0</v>
      </c>
      <c r="C59" s="304">
        <v>214383.2</v>
      </c>
      <c r="D59" s="298"/>
      <c r="E59" s="298"/>
      <c r="F59" s="299">
        <f t="shared" si="0"/>
        <v>214383.2</v>
      </c>
    </row>
    <row r="60" spans="1:6" ht="192.75" customHeight="1">
      <c r="A60" s="185"/>
      <c r="B60" s="204" t="s">
        <v>443</v>
      </c>
      <c r="C60" s="304"/>
      <c r="D60" s="298"/>
      <c r="E60" s="298"/>
      <c r="F60" s="299"/>
    </row>
    <row r="61" spans="1:6" ht="133.5" customHeight="1">
      <c r="A61" s="179" t="s">
        <v>409</v>
      </c>
      <c r="B61" s="191" t="s">
        <v>73</v>
      </c>
      <c r="C61" s="180">
        <v>76175.4</v>
      </c>
      <c r="D61" s="175"/>
      <c r="E61" s="175"/>
      <c r="F61" s="118">
        <f aca="true" t="shared" si="1" ref="F61:F72">C61+D61</f>
        <v>76175.4</v>
      </c>
    </row>
    <row r="62" spans="1:6" ht="111" customHeight="1">
      <c r="A62" s="186" t="s">
        <v>410</v>
      </c>
      <c r="B62" s="189" t="s">
        <v>1</v>
      </c>
      <c r="C62" s="175"/>
      <c r="D62" s="175"/>
      <c r="E62" s="175"/>
      <c r="F62" s="178"/>
    </row>
    <row r="63" spans="1:6" ht="180.75" customHeight="1">
      <c r="A63" s="187"/>
      <c r="B63" s="205" t="s">
        <v>444</v>
      </c>
      <c r="C63" s="176">
        <v>21494.7</v>
      </c>
      <c r="D63" s="176"/>
      <c r="E63" s="176"/>
      <c r="F63" s="177">
        <f t="shared" si="1"/>
        <v>21494.7</v>
      </c>
    </row>
    <row r="64" spans="1:6" ht="51.75" customHeight="1" hidden="1">
      <c r="A64" s="70">
        <v>41031900</v>
      </c>
      <c r="B64" s="49" t="s">
        <v>411</v>
      </c>
      <c r="C64" s="47"/>
      <c r="D64" s="47"/>
      <c r="E64" s="47"/>
      <c r="F64" s="118">
        <f t="shared" si="1"/>
        <v>0</v>
      </c>
    </row>
    <row r="65" spans="1:6" ht="55.5" customHeight="1" hidden="1">
      <c r="A65" s="70">
        <v>41033900</v>
      </c>
      <c r="B65" s="128" t="s">
        <v>338</v>
      </c>
      <c r="C65" s="47"/>
      <c r="D65" s="47"/>
      <c r="E65" s="47"/>
      <c r="F65" s="118">
        <f t="shared" si="1"/>
        <v>0</v>
      </c>
    </row>
    <row r="66" spans="1:6" ht="42" customHeight="1">
      <c r="A66" s="70" t="s">
        <v>412</v>
      </c>
      <c r="B66" s="71" t="s">
        <v>413</v>
      </c>
      <c r="C66" s="47">
        <v>7136.8</v>
      </c>
      <c r="D66" s="47"/>
      <c r="E66" s="47"/>
      <c r="F66" s="118">
        <f t="shared" si="1"/>
        <v>7136.8</v>
      </c>
    </row>
    <row r="67" spans="1:6" ht="41.25" customHeight="1" hidden="1">
      <c r="A67" s="70">
        <v>41034500</v>
      </c>
      <c r="B67" s="71" t="s">
        <v>414</v>
      </c>
      <c r="C67" s="47"/>
      <c r="D67" s="47"/>
      <c r="E67" s="47"/>
      <c r="F67" s="118">
        <f t="shared" si="1"/>
        <v>0</v>
      </c>
    </row>
    <row r="68" spans="1:6" ht="42" customHeight="1" hidden="1">
      <c r="A68" s="70" t="s">
        <v>415</v>
      </c>
      <c r="B68" s="71" t="s">
        <v>340</v>
      </c>
      <c r="C68" s="47"/>
      <c r="D68" s="47"/>
      <c r="E68" s="47"/>
      <c r="F68" s="118">
        <f t="shared" si="1"/>
        <v>0</v>
      </c>
    </row>
    <row r="69" spans="1:6" ht="63.75" hidden="1">
      <c r="A69" s="70" t="s">
        <v>416</v>
      </c>
      <c r="B69" s="71" t="s">
        <v>342</v>
      </c>
      <c r="C69" s="47"/>
      <c r="D69" s="47"/>
      <c r="E69" s="47"/>
      <c r="F69" s="118">
        <f t="shared" si="1"/>
        <v>0</v>
      </c>
    </row>
    <row r="70" spans="1:6" ht="12.75" hidden="1">
      <c r="A70" s="70" t="s">
        <v>417</v>
      </c>
      <c r="B70" s="71" t="s">
        <v>262</v>
      </c>
      <c r="C70" s="47"/>
      <c r="D70" s="47"/>
      <c r="E70" s="47"/>
      <c r="F70" s="118">
        <f t="shared" si="1"/>
        <v>0</v>
      </c>
    </row>
    <row r="71" spans="1:6" ht="42" customHeight="1" hidden="1">
      <c r="A71" s="70" t="s">
        <v>418</v>
      </c>
      <c r="B71" s="71" t="s">
        <v>419</v>
      </c>
      <c r="C71" s="47"/>
      <c r="D71" s="47"/>
      <c r="E71" s="47"/>
      <c r="F71" s="118">
        <f t="shared" si="1"/>
        <v>0</v>
      </c>
    </row>
    <row r="72" spans="1:6" ht="42" customHeight="1" hidden="1">
      <c r="A72" s="70" t="s">
        <v>420</v>
      </c>
      <c r="B72" s="71" t="s">
        <v>421</v>
      </c>
      <c r="C72" s="47"/>
      <c r="D72" s="47"/>
      <c r="E72" s="47"/>
      <c r="F72" s="118">
        <f t="shared" si="1"/>
        <v>0</v>
      </c>
    </row>
    <row r="73" spans="1:6" ht="27" customHeight="1" hidden="1">
      <c r="A73" s="70"/>
      <c r="B73" s="71"/>
      <c r="C73" s="47"/>
      <c r="D73" s="47"/>
      <c r="E73" s="47"/>
      <c r="F73" s="118"/>
    </row>
    <row r="74" spans="1:6" ht="27.75" customHeight="1">
      <c r="A74" s="69">
        <v>43010000</v>
      </c>
      <c r="B74" s="129" t="s">
        <v>258</v>
      </c>
      <c r="C74" s="120" t="s">
        <v>229</v>
      </c>
      <c r="D74" s="120">
        <f>E74</f>
        <v>53953.9</v>
      </c>
      <c r="E74" s="120">
        <f>3891.4+51002.5-940</f>
        <v>53953.9</v>
      </c>
      <c r="F74" s="121">
        <f>D74</f>
        <v>53953.9</v>
      </c>
    </row>
    <row r="75" spans="1:6" s="112" customFormat="1" ht="13.5" thickBot="1">
      <c r="A75" s="300" t="s">
        <v>259</v>
      </c>
      <c r="B75" s="301"/>
      <c r="C75" s="130">
        <f>C47+C49</f>
        <v>1096269.6</v>
      </c>
      <c r="D75" s="130">
        <f>D47+D49</f>
        <v>158423.5</v>
      </c>
      <c r="E75" s="130">
        <f>E49+E47</f>
        <v>54953.9</v>
      </c>
      <c r="F75" s="131">
        <f>C75+D75</f>
        <v>1254693.1</v>
      </c>
    </row>
    <row r="76" spans="3:10" ht="12.75">
      <c r="C76" s="32"/>
      <c r="D76" s="32"/>
      <c r="E76" s="50"/>
      <c r="F76" s="32"/>
      <c r="G76" s="50"/>
      <c r="J76" s="50"/>
    </row>
    <row r="77" spans="3:6" ht="12">
      <c r="C77" s="59"/>
      <c r="D77" s="59"/>
      <c r="E77" s="59"/>
      <c r="F77" s="59"/>
    </row>
    <row r="81" spans="2:3" ht="12">
      <c r="B81" s="132"/>
      <c r="C81" s="50"/>
    </row>
    <row r="83" ht="12">
      <c r="C83" s="50"/>
    </row>
    <row r="89" ht="12">
      <c r="D89" s="50"/>
    </row>
  </sheetData>
  <mergeCells count="16">
    <mergeCell ref="D1:F1"/>
    <mergeCell ref="D2:F2"/>
    <mergeCell ref="D3:F3"/>
    <mergeCell ref="E4:F4"/>
    <mergeCell ref="A6:F6"/>
    <mergeCell ref="A10:A11"/>
    <mergeCell ref="B10:B11"/>
    <mergeCell ref="C10:C11"/>
    <mergeCell ref="D10:E10"/>
    <mergeCell ref="F10:F11"/>
    <mergeCell ref="E59:E60"/>
    <mergeCell ref="F59:F60"/>
    <mergeCell ref="A75:B75"/>
    <mergeCell ref="A47:B47"/>
    <mergeCell ref="C59:C60"/>
    <mergeCell ref="D59:D60"/>
  </mergeCells>
  <printOptions/>
  <pageMargins left="0.56" right="0.12" top="0.14" bottom="0.46" header="0.09" footer="0.46"/>
  <pageSetup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dimension ref="A1:BG488"/>
  <sheetViews>
    <sheetView view="pageBreakPreview" zoomScale="80" zoomScaleNormal="80" zoomScaleSheetLayoutView="80" workbookViewId="0" topLeftCell="A53">
      <selection activeCell="B72" sqref="B72"/>
    </sheetView>
  </sheetViews>
  <sheetFormatPr defaultColWidth="9.00390625" defaultRowHeight="12.75"/>
  <cols>
    <col min="1" max="1" width="8.125" style="60" customWidth="1"/>
    <col min="2" max="2" width="51.375" style="2" customWidth="1"/>
    <col min="3" max="3" width="11.375" style="3" customWidth="1"/>
    <col min="4" max="4" width="10.625" style="3" customWidth="1"/>
    <col min="5" max="5" width="9.375" style="3" customWidth="1"/>
    <col min="6" max="6" width="11.125" style="3" customWidth="1"/>
    <col min="7" max="7" width="8.375" style="3" customWidth="1"/>
    <col min="8" max="8" width="10.625" style="3" customWidth="1"/>
    <col min="9" max="9" width="10.375" style="3" customWidth="1"/>
    <col min="10" max="10" width="6.125" style="3" hidden="1" customWidth="1"/>
    <col min="11" max="11" width="12.375" style="3" customWidth="1"/>
    <col min="12" max="12" width="10.625" style="3" customWidth="1"/>
    <col min="13" max="16384" width="8.875" style="3" customWidth="1"/>
  </cols>
  <sheetData>
    <row r="1" spans="8:10" ht="12" customHeight="1">
      <c r="H1" s="323" t="s">
        <v>76</v>
      </c>
      <c r="I1" s="323"/>
      <c r="J1" s="323"/>
    </row>
    <row r="2" spans="8:10" ht="16.5" customHeight="1">
      <c r="H2" s="5" t="s">
        <v>77</v>
      </c>
      <c r="I2" s="5"/>
      <c r="J2" s="5"/>
    </row>
    <row r="3" spans="8:11" ht="12.75">
      <c r="H3" s="316" t="s">
        <v>62</v>
      </c>
      <c r="I3" s="316"/>
      <c r="J3" s="316"/>
      <c r="K3" s="316"/>
    </row>
    <row r="5" spans="2:8" ht="13.5" customHeight="1">
      <c r="B5" s="1"/>
      <c r="C5" s="7"/>
      <c r="D5" s="7"/>
      <c r="E5" s="7"/>
      <c r="F5" s="7"/>
      <c r="G5" s="7"/>
      <c r="H5" s="7"/>
    </row>
    <row r="6" spans="1:11" ht="15.75">
      <c r="A6" s="290" t="s">
        <v>436</v>
      </c>
      <c r="B6" s="290"/>
      <c r="C6" s="290"/>
      <c r="D6" s="290"/>
      <c r="E6" s="290"/>
      <c r="F6" s="290"/>
      <c r="G6" s="290"/>
      <c r="H6" s="290"/>
      <c r="I6" s="290"/>
      <c r="J6" s="290"/>
      <c r="K6" s="290"/>
    </row>
    <row r="7" spans="1:12" ht="15" customHeight="1">
      <c r="A7" s="290" t="s">
        <v>78</v>
      </c>
      <c r="B7" s="290"/>
      <c r="C7" s="290"/>
      <c r="D7" s="290"/>
      <c r="E7" s="290"/>
      <c r="F7" s="290"/>
      <c r="G7" s="290"/>
      <c r="H7" s="290"/>
      <c r="I7" s="290"/>
      <c r="J7" s="290"/>
      <c r="K7" s="290"/>
      <c r="L7" s="8"/>
    </row>
    <row r="8" spans="6:12" ht="13.5" thickBot="1">
      <c r="F8" s="9"/>
      <c r="G8" s="9"/>
      <c r="I8" s="10"/>
      <c r="J8" s="11"/>
      <c r="K8" s="3" t="s">
        <v>263</v>
      </c>
      <c r="L8" s="8"/>
    </row>
    <row r="9" spans="1:12" ht="25.5" customHeight="1" thickBot="1">
      <c r="A9" s="291" t="s">
        <v>79</v>
      </c>
      <c r="B9" s="294" t="s">
        <v>80</v>
      </c>
      <c r="C9" s="296" t="s">
        <v>81</v>
      </c>
      <c r="D9" s="297"/>
      <c r="E9" s="297"/>
      <c r="F9" s="297"/>
      <c r="G9" s="284"/>
      <c r="H9" s="285" t="s">
        <v>82</v>
      </c>
      <c r="I9" s="286"/>
      <c r="J9" s="287"/>
      <c r="K9" s="294" t="s">
        <v>83</v>
      </c>
      <c r="L9" s="12"/>
    </row>
    <row r="10" spans="1:12" ht="24" customHeight="1" thickBot="1">
      <c r="A10" s="292"/>
      <c r="B10" s="295"/>
      <c r="C10" s="289" t="s">
        <v>84</v>
      </c>
      <c r="D10" s="289" t="s">
        <v>85</v>
      </c>
      <c r="E10" s="280"/>
      <c r="F10" s="280"/>
      <c r="G10" s="281"/>
      <c r="H10" s="279" t="s">
        <v>84</v>
      </c>
      <c r="I10" s="13" t="s">
        <v>86</v>
      </c>
      <c r="J10" s="282" t="s">
        <v>87</v>
      </c>
      <c r="K10" s="295"/>
      <c r="L10" s="12"/>
    </row>
    <row r="11" spans="1:12" ht="84.75" thickBot="1">
      <c r="A11" s="293"/>
      <c r="B11" s="295"/>
      <c r="C11" s="279"/>
      <c r="D11" s="14" t="s">
        <v>88</v>
      </c>
      <c r="E11" s="15" t="s">
        <v>89</v>
      </c>
      <c r="F11" s="15" t="s">
        <v>90</v>
      </c>
      <c r="G11" s="15" t="s">
        <v>91</v>
      </c>
      <c r="H11" s="279"/>
      <c r="I11" s="15" t="s">
        <v>92</v>
      </c>
      <c r="J11" s="283"/>
      <c r="K11" s="288"/>
      <c r="L11" s="12"/>
    </row>
    <row r="12" spans="1:12" ht="13.5" thickBot="1">
      <c r="A12" s="61">
        <v>1</v>
      </c>
      <c r="B12" s="16">
        <v>2</v>
      </c>
      <c r="C12" s="17">
        <v>3</v>
      </c>
      <c r="D12" s="17">
        <v>4</v>
      </c>
      <c r="E12" s="17">
        <v>5</v>
      </c>
      <c r="F12" s="17">
        <v>6</v>
      </c>
      <c r="G12" s="17">
        <v>7</v>
      </c>
      <c r="H12" s="17">
        <v>8</v>
      </c>
      <c r="I12" s="17">
        <v>9</v>
      </c>
      <c r="J12" s="17">
        <v>10</v>
      </c>
      <c r="K12" s="17">
        <v>11</v>
      </c>
      <c r="L12" s="8"/>
    </row>
    <row r="13" spans="1:12" s="19" customFormat="1" ht="15.75" customHeight="1">
      <c r="A13" s="202" t="s">
        <v>93</v>
      </c>
      <c r="B13" s="203" t="s">
        <v>94</v>
      </c>
      <c r="C13" s="85">
        <f aca="true" t="shared" si="0" ref="C13:J13">C14</f>
        <v>7786</v>
      </c>
      <c r="D13" s="85">
        <f t="shared" si="0"/>
        <v>821.3000000000001</v>
      </c>
      <c r="E13" s="85">
        <f t="shared" si="0"/>
        <v>1080</v>
      </c>
      <c r="F13" s="85">
        <f t="shared" si="0"/>
        <v>5884.7</v>
      </c>
      <c r="G13" s="85">
        <f t="shared" si="0"/>
        <v>0</v>
      </c>
      <c r="H13" s="85">
        <f t="shared" si="0"/>
        <v>0</v>
      </c>
      <c r="I13" s="85">
        <f t="shared" si="0"/>
        <v>0</v>
      </c>
      <c r="J13" s="85">
        <f t="shared" si="0"/>
        <v>0</v>
      </c>
      <c r="K13" s="86">
        <f aca="true" t="shared" si="1" ref="K13:K51">C13+H13</f>
        <v>7786</v>
      </c>
      <c r="L13" s="18"/>
    </row>
    <row r="14" spans="1:13" ht="12.75">
      <c r="A14" s="200" t="s">
        <v>95</v>
      </c>
      <c r="B14" s="201" t="s">
        <v>96</v>
      </c>
      <c r="C14" s="173">
        <f>D14+E14+F14+G14</f>
        <v>7786</v>
      </c>
      <c r="D14" s="173">
        <f>708.7+112.6</f>
        <v>821.3000000000001</v>
      </c>
      <c r="E14" s="173">
        <v>1080</v>
      </c>
      <c r="F14" s="173">
        <f>5997.3-112.6</f>
        <v>5884.7</v>
      </c>
      <c r="G14" s="173"/>
      <c r="H14" s="173"/>
      <c r="I14" s="173"/>
      <c r="J14" s="173"/>
      <c r="K14" s="192">
        <f t="shared" si="1"/>
        <v>7786</v>
      </c>
      <c r="L14" s="8"/>
      <c r="M14" s="21"/>
    </row>
    <row r="15" spans="1:13" ht="25.5" customHeight="1">
      <c r="A15" s="62" t="s">
        <v>97</v>
      </c>
      <c r="B15" s="26" t="s">
        <v>98</v>
      </c>
      <c r="C15" s="45">
        <f aca="true" t="shared" si="2" ref="C15:I15">C16</f>
        <v>5500</v>
      </c>
      <c r="D15" s="45">
        <f t="shared" si="2"/>
        <v>0</v>
      </c>
      <c r="E15" s="45">
        <f t="shared" si="2"/>
        <v>0</v>
      </c>
      <c r="F15" s="45">
        <f t="shared" si="2"/>
        <v>5500</v>
      </c>
      <c r="G15" s="45">
        <f t="shared" si="2"/>
        <v>0</v>
      </c>
      <c r="H15" s="45">
        <f t="shared" si="2"/>
        <v>0</v>
      </c>
      <c r="I15" s="45">
        <f t="shared" si="2"/>
        <v>0</v>
      </c>
      <c r="J15" s="45"/>
      <c r="K15" s="63">
        <f t="shared" si="1"/>
        <v>5500</v>
      </c>
      <c r="L15" s="8"/>
      <c r="M15" s="21"/>
    </row>
    <row r="16" spans="1:13" ht="25.5" customHeight="1">
      <c r="A16" s="64" t="s">
        <v>99</v>
      </c>
      <c r="B16" s="51" t="s">
        <v>100</v>
      </c>
      <c r="C16" s="30">
        <f>D16+E16+F16+G16</f>
        <v>5500</v>
      </c>
      <c r="D16" s="30"/>
      <c r="E16" s="30"/>
      <c r="F16" s="30">
        <v>5500</v>
      </c>
      <c r="G16" s="30"/>
      <c r="H16" s="30"/>
      <c r="I16" s="30"/>
      <c r="J16" s="30"/>
      <c r="K16" s="65">
        <f t="shared" si="1"/>
        <v>5500</v>
      </c>
      <c r="L16" s="8"/>
      <c r="M16" s="21"/>
    </row>
    <row r="17" spans="1:12" s="21" customFormat="1" ht="18.75" customHeight="1">
      <c r="A17" s="62" t="s">
        <v>101</v>
      </c>
      <c r="B17" s="66" t="s">
        <v>102</v>
      </c>
      <c r="C17" s="67">
        <f>D17+E17+F17+G17</f>
        <v>144448.90000000002</v>
      </c>
      <c r="D17" s="67">
        <f>54204.3</f>
        <v>54204.3</v>
      </c>
      <c r="E17" s="67">
        <f>10043.2+321.6</f>
        <v>10364.800000000001</v>
      </c>
      <c r="F17" s="67">
        <f>55701.4+24178.4</f>
        <v>79879.8</v>
      </c>
      <c r="G17" s="67"/>
      <c r="H17" s="67">
        <v>4659.7</v>
      </c>
      <c r="I17" s="67"/>
      <c r="J17" s="67"/>
      <c r="K17" s="68">
        <f t="shared" si="1"/>
        <v>149108.60000000003</v>
      </c>
      <c r="L17" s="23"/>
    </row>
    <row r="18" spans="1:12" s="21" customFormat="1" ht="16.5" customHeight="1">
      <c r="A18" s="62" t="s">
        <v>103</v>
      </c>
      <c r="B18" s="66" t="s">
        <v>104</v>
      </c>
      <c r="C18" s="67">
        <f>D18+E18+F18+G18</f>
        <v>285302.50000000006</v>
      </c>
      <c r="D18" s="67">
        <v>119833.6</v>
      </c>
      <c r="E18" s="67">
        <f>21138+24.6</f>
        <v>21162.6</v>
      </c>
      <c r="F18" s="67">
        <f>124236.2+11840-24.6</f>
        <v>136051.6</v>
      </c>
      <c r="G18" s="67">
        <v>8254.7</v>
      </c>
      <c r="H18" s="67">
        <v>9784.4</v>
      </c>
      <c r="I18" s="67">
        <f>10000-10000</f>
        <v>0</v>
      </c>
      <c r="J18" s="67"/>
      <c r="K18" s="68">
        <f t="shared" si="1"/>
        <v>295086.9000000001</v>
      </c>
      <c r="L18" s="23"/>
    </row>
    <row r="19" spans="1:12" s="21" customFormat="1" ht="17.25" customHeight="1">
      <c r="A19" s="62" t="s">
        <v>105</v>
      </c>
      <c r="B19" s="66" t="s">
        <v>106</v>
      </c>
      <c r="C19" s="67">
        <f>C20+C21+C22+C23+C26+C27+C29+C30+C31+C32+C33+C34+C35+C36+C37+C38+C39+C40+C41+C24+C25+C28</f>
        <v>75675.20000000001</v>
      </c>
      <c r="D19" s="67">
        <f aca="true" t="shared" si="3" ref="D19:J19">D20+D21+D22+D23+D26+D27+D29+D30+D31+D32+D33+D34+D35+D36+D37+D38+D39+D40+D41+D24+D25</f>
        <v>21856.500000000004</v>
      </c>
      <c r="E19" s="67">
        <f t="shared" si="3"/>
        <v>6751.9000000000015</v>
      </c>
      <c r="F19" s="67">
        <f>F20+F21+F22+F23+F26+F27+F29+F30+F31+F32+F33+F34+F35+F36+F37+F38+F39+F40+F41+F24+F25+F28</f>
        <v>47066.8</v>
      </c>
      <c r="G19" s="67">
        <f t="shared" si="3"/>
        <v>0</v>
      </c>
      <c r="H19" s="67">
        <f t="shared" si="3"/>
        <v>8664</v>
      </c>
      <c r="I19" s="67">
        <f t="shared" si="3"/>
        <v>0</v>
      </c>
      <c r="J19" s="67">
        <f t="shared" si="3"/>
        <v>0</v>
      </c>
      <c r="K19" s="68">
        <f>K20+K21+K22+K23+K26+K27+K29+K30+K31+K32+K33+K34+K35+K36+K37+K38+K39+K40+K41+K24+K25+K28</f>
        <v>84339.20000000001</v>
      </c>
      <c r="L19" s="28">
        <f>C19+H19</f>
        <v>84339.20000000001</v>
      </c>
    </row>
    <row r="20" spans="1:13" ht="12.75">
      <c r="A20" s="64" t="s">
        <v>107</v>
      </c>
      <c r="B20" s="20" t="s">
        <v>108</v>
      </c>
      <c r="C20" s="30">
        <f>D20+E20+F20</f>
        <v>2.4</v>
      </c>
      <c r="D20" s="30"/>
      <c r="E20" s="30"/>
      <c r="F20" s="30">
        <v>2.4</v>
      </c>
      <c r="G20" s="30"/>
      <c r="H20" s="30"/>
      <c r="I20" s="30"/>
      <c r="J20" s="30"/>
      <c r="K20" s="65">
        <f t="shared" si="1"/>
        <v>2.4</v>
      </c>
      <c r="L20" s="8"/>
      <c r="M20" s="21"/>
    </row>
    <row r="21" spans="1:13" ht="25.5">
      <c r="A21" s="64" t="s">
        <v>168</v>
      </c>
      <c r="B21" s="20" t="s">
        <v>267</v>
      </c>
      <c r="C21" s="30">
        <f>D21+E21+F21</f>
        <v>7136.8</v>
      </c>
      <c r="D21" s="30"/>
      <c r="E21" s="30"/>
      <c r="F21" s="30">
        <v>7136.8</v>
      </c>
      <c r="G21" s="30"/>
      <c r="H21" s="30"/>
      <c r="I21" s="30"/>
      <c r="J21" s="30"/>
      <c r="K21" s="65">
        <f t="shared" si="1"/>
        <v>7136.8</v>
      </c>
      <c r="L21" s="8"/>
      <c r="M21" s="21"/>
    </row>
    <row r="22" spans="1:13" ht="15" customHeight="1">
      <c r="A22" s="64" t="s">
        <v>109</v>
      </c>
      <c r="B22" s="20" t="s">
        <v>110</v>
      </c>
      <c r="C22" s="30">
        <f>D22+E22+F22+G22</f>
        <v>1191.5</v>
      </c>
      <c r="D22" s="30"/>
      <c r="E22" s="30"/>
      <c r="F22" s="30">
        <f>37+1154.5</f>
        <v>1191.5</v>
      </c>
      <c r="G22" s="30"/>
      <c r="H22" s="30">
        <v>205</v>
      </c>
      <c r="I22" s="30"/>
      <c r="J22" s="30"/>
      <c r="K22" s="65">
        <f t="shared" si="1"/>
        <v>1396.5</v>
      </c>
      <c r="L22" s="8"/>
      <c r="M22" s="21"/>
    </row>
    <row r="23" spans="1:13" ht="27" customHeight="1">
      <c r="A23" s="64" t="s">
        <v>111</v>
      </c>
      <c r="B23" s="20" t="s">
        <v>112</v>
      </c>
      <c r="C23" s="30">
        <f aca="true" t="shared" si="4" ref="C23:C28">D23+E23+F23</f>
        <v>1437.5</v>
      </c>
      <c r="D23" s="30"/>
      <c r="E23" s="30"/>
      <c r="F23" s="30">
        <v>1437.5</v>
      </c>
      <c r="G23" s="30"/>
      <c r="H23" s="30"/>
      <c r="I23" s="30"/>
      <c r="J23" s="30"/>
      <c r="K23" s="65">
        <f t="shared" si="1"/>
        <v>1437.5</v>
      </c>
      <c r="L23" s="8"/>
      <c r="M23" s="21"/>
    </row>
    <row r="24" spans="1:13" ht="26.25" customHeight="1">
      <c r="A24" s="64" t="s">
        <v>268</v>
      </c>
      <c r="B24" s="20" t="s">
        <v>269</v>
      </c>
      <c r="C24" s="30">
        <f t="shared" si="4"/>
        <v>1408.4</v>
      </c>
      <c r="D24" s="30"/>
      <c r="E24" s="30"/>
      <c r="F24" s="30">
        <v>1408.4</v>
      </c>
      <c r="G24" s="30"/>
      <c r="H24" s="30"/>
      <c r="I24" s="30"/>
      <c r="J24" s="30"/>
      <c r="K24" s="65">
        <f t="shared" si="1"/>
        <v>1408.4</v>
      </c>
      <c r="L24" s="8"/>
      <c r="M24" s="21"/>
    </row>
    <row r="25" spans="1:13" ht="14.25" customHeight="1">
      <c r="A25" s="64" t="s">
        <v>386</v>
      </c>
      <c r="B25" s="20" t="s">
        <v>387</v>
      </c>
      <c r="C25" s="30">
        <f t="shared" si="4"/>
        <v>175</v>
      </c>
      <c r="D25" s="30"/>
      <c r="E25" s="30"/>
      <c r="F25" s="30">
        <v>175</v>
      </c>
      <c r="G25" s="30"/>
      <c r="H25" s="30"/>
      <c r="I25" s="30"/>
      <c r="J25" s="30"/>
      <c r="K25" s="65">
        <f t="shared" si="1"/>
        <v>175</v>
      </c>
      <c r="L25" s="8"/>
      <c r="M25" s="21"/>
    </row>
    <row r="26" spans="1:13" ht="12.75">
      <c r="A26" s="64" t="s">
        <v>270</v>
      </c>
      <c r="B26" s="20" t="s">
        <v>271</v>
      </c>
      <c r="C26" s="30">
        <f t="shared" si="4"/>
        <v>8889</v>
      </c>
      <c r="D26" s="30">
        <f>3419.4+49.4</f>
        <v>3468.8</v>
      </c>
      <c r="E26" s="30">
        <v>841.3</v>
      </c>
      <c r="F26" s="30">
        <f>4060.5+518.4</f>
        <v>4578.9</v>
      </c>
      <c r="G26" s="30"/>
      <c r="H26" s="30">
        <v>596</v>
      </c>
      <c r="I26" s="30"/>
      <c r="J26" s="30"/>
      <c r="K26" s="65">
        <f t="shared" si="1"/>
        <v>9485</v>
      </c>
      <c r="L26" s="8"/>
      <c r="M26" s="21"/>
    </row>
    <row r="27" spans="1:13" ht="12.75">
      <c r="A27" s="64" t="s">
        <v>117</v>
      </c>
      <c r="B27" s="20" t="s">
        <v>118</v>
      </c>
      <c r="C27" s="30">
        <f t="shared" si="4"/>
        <v>6442.700000000001</v>
      </c>
      <c r="D27" s="30">
        <v>2418.5</v>
      </c>
      <c r="E27" s="30">
        <v>553.8</v>
      </c>
      <c r="F27" s="30">
        <v>3470.4</v>
      </c>
      <c r="G27" s="30"/>
      <c r="H27" s="30"/>
      <c r="I27" s="30"/>
      <c r="J27" s="30"/>
      <c r="K27" s="65">
        <f t="shared" si="1"/>
        <v>6442.700000000001</v>
      </c>
      <c r="L27" s="8"/>
      <c r="M27" s="21"/>
    </row>
    <row r="28" spans="1:13" ht="12.75">
      <c r="A28" s="234" t="s">
        <v>66</v>
      </c>
      <c r="B28" s="235" t="s">
        <v>65</v>
      </c>
      <c r="C28" s="30">
        <f t="shared" si="4"/>
        <v>200</v>
      </c>
      <c r="D28" s="30"/>
      <c r="E28" s="30"/>
      <c r="F28" s="30">
        <v>200</v>
      </c>
      <c r="G28" s="30"/>
      <c r="H28" s="30"/>
      <c r="I28" s="30"/>
      <c r="J28" s="30"/>
      <c r="K28" s="65">
        <f t="shared" si="1"/>
        <v>200</v>
      </c>
      <c r="L28" s="8"/>
      <c r="M28" s="21"/>
    </row>
    <row r="29" spans="1:13" ht="25.5">
      <c r="A29" s="64" t="s">
        <v>272</v>
      </c>
      <c r="B29" s="20" t="s">
        <v>273</v>
      </c>
      <c r="C29" s="30">
        <f>D29+E29+F29+G29</f>
        <v>43007.8</v>
      </c>
      <c r="D29" s="30">
        <f>13780.4+497.5</f>
        <v>14277.9</v>
      </c>
      <c r="E29" s="30">
        <v>5196.6</v>
      </c>
      <c r="F29" s="30">
        <f>20547.7+2985.6</f>
        <v>23533.3</v>
      </c>
      <c r="G29" s="30"/>
      <c r="H29" s="30">
        <v>7650</v>
      </c>
      <c r="I29" s="30"/>
      <c r="J29" s="30"/>
      <c r="K29" s="65">
        <f t="shared" si="1"/>
        <v>50657.8</v>
      </c>
      <c r="L29" s="8"/>
      <c r="M29" s="21"/>
    </row>
    <row r="30" spans="1:13" ht="13.5" customHeight="1">
      <c r="A30" s="64" t="s">
        <v>274</v>
      </c>
      <c r="B30" s="20" t="s">
        <v>275</v>
      </c>
      <c r="C30" s="30">
        <f aca="true" t="shared" si="5" ref="C30:C41">D30+E30+F30</f>
        <v>356.79999999999995</v>
      </c>
      <c r="D30" s="30">
        <v>212.1</v>
      </c>
      <c r="E30" s="30">
        <v>12.6</v>
      </c>
      <c r="F30" s="30">
        <v>132.1</v>
      </c>
      <c r="G30" s="30"/>
      <c r="H30" s="30"/>
      <c r="I30" s="30"/>
      <c r="J30" s="30"/>
      <c r="K30" s="65">
        <f t="shared" si="1"/>
        <v>356.79999999999995</v>
      </c>
      <c r="L30" s="8"/>
      <c r="M30" s="21"/>
    </row>
    <row r="31" spans="1:13" ht="25.5">
      <c r="A31" s="64" t="s">
        <v>276</v>
      </c>
      <c r="B31" s="20" t="s">
        <v>277</v>
      </c>
      <c r="C31" s="30">
        <f t="shared" si="5"/>
        <v>111.3</v>
      </c>
      <c r="D31" s="30"/>
      <c r="E31" s="30">
        <v>13.8</v>
      </c>
      <c r="F31" s="30">
        <v>97.5</v>
      </c>
      <c r="G31" s="30"/>
      <c r="H31" s="30"/>
      <c r="I31" s="30"/>
      <c r="J31" s="30"/>
      <c r="K31" s="65">
        <f t="shared" si="1"/>
        <v>111.3</v>
      </c>
      <c r="L31" s="8"/>
      <c r="M31" s="21"/>
    </row>
    <row r="32" spans="1:13" ht="25.5">
      <c r="A32" s="64" t="s">
        <v>278</v>
      </c>
      <c r="B32" s="20" t="s">
        <v>279</v>
      </c>
      <c r="C32" s="30">
        <f t="shared" si="5"/>
        <v>450</v>
      </c>
      <c r="D32" s="30"/>
      <c r="E32" s="30"/>
      <c r="F32" s="30">
        <v>450</v>
      </c>
      <c r="G32" s="30"/>
      <c r="H32" s="30"/>
      <c r="I32" s="30"/>
      <c r="J32" s="30"/>
      <c r="K32" s="65">
        <f t="shared" si="1"/>
        <v>450</v>
      </c>
      <c r="L32" s="8"/>
      <c r="M32" s="21"/>
    </row>
    <row r="33" spans="1:13" ht="25.5">
      <c r="A33" s="64" t="s">
        <v>280</v>
      </c>
      <c r="B33" s="20" t="s">
        <v>281</v>
      </c>
      <c r="C33" s="30">
        <f t="shared" si="5"/>
        <v>30</v>
      </c>
      <c r="D33" s="30"/>
      <c r="E33" s="30"/>
      <c r="F33" s="30">
        <v>30</v>
      </c>
      <c r="G33" s="30"/>
      <c r="H33" s="30"/>
      <c r="I33" s="30"/>
      <c r="J33" s="30"/>
      <c r="K33" s="65">
        <f t="shared" si="1"/>
        <v>30</v>
      </c>
      <c r="L33" s="8"/>
      <c r="M33" s="21"/>
    </row>
    <row r="34" spans="1:13" ht="12.75">
      <c r="A34" s="64" t="s">
        <v>282</v>
      </c>
      <c r="B34" s="20" t="s">
        <v>283</v>
      </c>
      <c r="C34" s="30">
        <f t="shared" si="5"/>
        <v>646.4000000000001</v>
      </c>
      <c r="D34" s="30">
        <v>220.4</v>
      </c>
      <c r="E34" s="30">
        <f>23.4+3.5</f>
        <v>26.9</v>
      </c>
      <c r="F34" s="30">
        <f>402.6-3.5</f>
        <v>399.1</v>
      </c>
      <c r="G34" s="30"/>
      <c r="H34" s="30"/>
      <c r="I34" s="30"/>
      <c r="J34" s="30"/>
      <c r="K34" s="65">
        <f t="shared" si="1"/>
        <v>646.4000000000001</v>
      </c>
      <c r="L34" s="8"/>
      <c r="M34" s="21"/>
    </row>
    <row r="35" spans="1:13" ht="12.75">
      <c r="A35" s="64" t="s">
        <v>284</v>
      </c>
      <c r="B35" s="20" t="s">
        <v>285</v>
      </c>
      <c r="C35" s="30">
        <f t="shared" si="5"/>
        <v>735.8</v>
      </c>
      <c r="D35" s="30">
        <v>199</v>
      </c>
      <c r="E35" s="30">
        <v>45.6</v>
      </c>
      <c r="F35" s="30">
        <v>491.2</v>
      </c>
      <c r="G35" s="30"/>
      <c r="H35" s="30"/>
      <c r="I35" s="30"/>
      <c r="J35" s="30"/>
      <c r="K35" s="65">
        <f t="shared" si="1"/>
        <v>735.8</v>
      </c>
      <c r="L35" s="8"/>
      <c r="M35" s="21"/>
    </row>
    <row r="36" spans="1:13" ht="25.5">
      <c r="A36" s="64" t="s">
        <v>286</v>
      </c>
      <c r="B36" s="20" t="s">
        <v>287</v>
      </c>
      <c r="C36" s="30">
        <f t="shared" si="5"/>
        <v>50</v>
      </c>
      <c r="D36" s="30"/>
      <c r="E36" s="30"/>
      <c r="F36" s="30">
        <v>50</v>
      </c>
      <c r="G36" s="30"/>
      <c r="H36" s="30"/>
      <c r="I36" s="30"/>
      <c r="J36" s="30"/>
      <c r="K36" s="65">
        <f t="shared" si="1"/>
        <v>50</v>
      </c>
      <c r="L36" s="8"/>
      <c r="M36" s="21"/>
    </row>
    <row r="37" spans="1:13" ht="65.25" customHeight="1">
      <c r="A37" s="64" t="s">
        <v>113</v>
      </c>
      <c r="B37" s="20" t="s">
        <v>288</v>
      </c>
      <c r="C37" s="30">
        <f t="shared" si="5"/>
        <v>500</v>
      </c>
      <c r="D37" s="30"/>
      <c r="E37" s="30"/>
      <c r="F37" s="30">
        <v>500</v>
      </c>
      <c r="G37" s="30"/>
      <c r="H37" s="30"/>
      <c r="I37" s="30"/>
      <c r="J37" s="30"/>
      <c r="K37" s="65">
        <f t="shared" si="1"/>
        <v>500</v>
      </c>
      <c r="L37" s="8"/>
      <c r="M37" s="21"/>
    </row>
    <row r="38" spans="1:13" ht="25.5">
      <c r="A38" s="64" t="s">
        <v>114</v>
      </c>
      <c r="B38" s="20" t="s">
        <v>115</v>
      </c>
      <c r="C38" s="30">
        <f t="shared" si="5"/>
        <v>136.8</v>
      </c>
      <c r="D38" s="30"/>
      <c r="E38" s="30"/>
      <c r="F38" s="30">
        <v>136.8</v>
      </c>
      <c r="G38" s="30"/>
      <c r="H38" s="30"/>
      <c r="I38" s="30"/>
      <c r="J38" s="30"/>
      <c r="K38" s="65">
        <f t="shared" si="1"/>
        <v>136.8</v>
      </c>
      <c r="L38" s="8"/>
      <c r="M38" s="21"/>
    </row>
    <row r="39" spans="1:13" ht="25.5">
      <c r="A39" s="64" t="s">
        <v>289</v>
      </c>
      <c r="B39" s="20" t="s">
        <v>290</v>
      </c>
      <c r="C39" s="30">
        <f t="shared" si="5"/>
        <v>14.2</v>
      </c>
      <c r="D39" s="30">
        <v>10.2</v>
      </c>
      <c r="E39" s="30"/>
      <c r="F39" s="30">
        <v>4</v>
      </c>
      <c r="G39" s="30"/>
      <c r="H39" s="30"/>
      <c r="I39" s="30"/>
      <c r="J39" s="30"/>
      <c r="K39" s="65">
        <f t="shared" si="1"/>
        <v>14.2</v>
      </c>
      <c r="L39" s="8"/>
      <c r="M39" s="21"/>
    </row>
    <row r="40" spans="1:13" ht="12.75">
      <c r="A40" s="64" t="s">
        <v>291</v>
      </c>
      <c r="B40" s="20" t="s">
        <v>292</v>
      </c>
      <c r="C40" s="30">
        <f t="shared" si="5"/>
        <v>32.5</v>
      </c>
      <c r="D40" s="30">
        <v>21.7</v>
      </c>
      <c r="E40" s="30"/>
      <c r="F40" s="30">
        <v>10.8</v>
      </c>
      <c r="G40" s="30"/>
      <c r="H40" s="30"/>
      <c r="I40" s="30"/>
      <c r="J40" s="30"/>
      <c r="K40" s="65">
        <f t="shared" si="1"/>
        <v>32.5</v>
      </c>
      <c r="L40" s="8"/>
      <c r="M40" s="21"/>
    </row>
    <row r="41" spans="1:13" ht="27.75" customHeight="1">
      <c r="A41" s="64" t="s">
        <v>116</v>
      </c>
      <c r="B41" s="24" t="s">
        <v>293</v>
      </c>
      <c r="C41" s="30">
        <f t="shared" si="5"/>
        <v>2720.3</v>
      </c>
      <c r="D41" s="30">
        <v>1027.9</v>
      </c>
      <c r="E41" s="30">
        <v>61.3</v>
      </c>
      <c r="F41" s="30">
        <v>1631.1</v>
      </c>
      <c r="G41" s="30"/>
      <c r="H41" s="30">
        <v>213</v>
      </c>
      <c r="I41" s="30"/>
      <c r="J41" s="30"/>
      <c r="K41" s="65">
        <f t="shared" si="1"/>
        <v>2933.3</v>
      </c>
      <c r="L41" s="8"/>
      <c r="M41" s="21"/>
    </row>
    <row r="42" spans="1:12" s="21" customFormat="1" ht="12.75">
      <c r="A42" s="62">
        <v>100000</v>
      </c>
      <c r="B42" s="26" t="s">
        <v>119</v>
      </c>
      <c r="C42" s="45">
        <f>D42+E42+F42+G42</f>
        <v>22100</v>
      </c>
      <c r="D42" s="45"/>
      <c r="E42" s="45"/>
      <c r="F42" s="45">
        <f>13000+9100</f>
        <v>22100</v>
      </c>
      <c r="G42" s="45"/>
      <c r="H42" s="45"/>
      <c r="I42" s="45"/>
      <c r="J42" s="45"/>
      <c r="K42" s="63">
        <f t="shared" si="1"/>
        <v>22100</v>
      </c>
      <c r="L42" s="23"/>
    </row>
    <row r="43" spans="1:12" s="21" customFormat="1" ht="38.25" hidden="1">
      <c r="A43" s="64" t="s">
        <v>294</v>
      </c>
      <c r="B43" s="20" t="s">
        <v>295</v>
      </c>
      <c r="C43" s="30">
        <f>F43</f>
        <v>0</v>
      </c>
      <c r="D43" s="30"/>
      <c r="E43" s="30"/>
      <c r="F43" s="30"/>
      <c r="G43" s="45"/>
      <c r="H43" s="45"/>
      <c r="I43" s="45"/>
      <c r="J43" s="45"/>
      <c r="K43" s="63">
        <f t="shared" si="1"/>
        <v>0</v>
      </c>
      <c r="L43" s="23"/>
    </row>
    <row r="44" spans="1:12" s="21" customFormat="1" ht="15" customHeight="1">
      <c r="A44" s="69">
        <v>110000</v>
      </c>
      <c r="B44" s="26" t="s">
        <v>296</v>
      </c>
      <c r="C44" s="45">
        <f>D44+E44+F44+G44</f>
        <v>29873.4</v>
      </c>
      <c r="D44" s="45">
        <f>2446.4+138.8</f>
        <v>2585.2000000000003</v>
      </c>
      <c r="E44" s="45">
        <f>461.9+42.6</f>
        <v>504.5</v>
      </c>
      <c r="F44" s="45">
        <f>20381+6445.3-42.6</f>
        <v>26783.7</v>
      </c>
      <c r="G44" s="45">
        <f>G45+G46+G47</f>
        <v>0</v>
      </c>
      <c r="H44" s="45">
        <f>520.5+20</f>
        <v>540.5</v>
      </c>
      <c r="I44" s="45"/>
      <c r="J44" s="45"/>
      <c r="K44" s="63">
        <f t="shared" si="1"/>
        <v>30413.9</v>
      </c>
      <c r="L44" s="23"/>
    </row>
    <row r="45" spans="1:13" ht="15" customHeight="1">
      <c r="A45" s="70" t="s">
        <v>297</v>
      </c>
      <c r="B45" s="20" t="s">
        <v>298</v>
      </c>
      <c r="C45" s="30">
        <f>D45+E45+F45+G45</f>
        <v>12894.4</v>
      </c>
      <c r="D45" s="30"/>
      <c r="E45" s="30"/>
      <c r="F45" s="30">
        <f>10208.5+2685.9</f>
        <v>12894.4</v>
      </c>
      <c r="G45" s="30"/>
      <c r="H45" s="30"/>
      <c r="I45" s="30"/>
      <c r="J45" s="30"/>
      <c r="K45" s="65">
        <f t="shared" si="1"/>
        <v>12894.4</v>
      </c>
      <c r="L45" s="8"/>
      <c r="M45" s="21"/>
    </row>
    <row r="46" spans="1:13" ht="25.5">
      <c r="A46" s="70" t="s">
        <v>299</v>
      </c>
      <c r="B46" s="20" t="s">
        <v>300</v>
      </c>
      <c r="C46" s="30">
        <f>D46+E46+F46+G46</f>
        <v>7897.1</v>
      </c>
      <c r="D46" s="30"/>
      <c r="E46" s="30"/>
      <c r="F46" s="30">
        <f>5500.7+2396.4</f>
        <v>7897.1</v>
      </c>
      <c r="G46" s="30"/>
      <c r="H46" s="30"/>
      <c r="I46" s="30"/>
      <c r="J46" s="30"/>
      <c r="K46" s="65">
        <f t="shared" si="1"/>
        <v>7897.1</v>
      </c>
      <c r="L46" s="8"/>
      <c r="M46" s="21"/>
    </row>
    <row r="47" spans="1:13" ht="12.75">
      <c r="A47" s="70">
        <v>110300</v>
      </c>
      <c r="B47" s="20" t="s">
        <v>120</v>
      </c>
      <c r="C47" s="30">
        <f>D47+E47+F47</f>
        <v>253</v>
      </c>
      <c r="D47" s="30"/>
      <c r="E47" s="30"/>
      <c r="F47" s="30">
        <v>253</v>
      </c>
      <c r="G47" s="30"/>
      <c r="H47" s="30"/>
      <c r="I47" s="30"/>
      <c r="J47" s="30"/>
      <c r="K47" s="65">
        <f t="shared" si="1"/>
        <v>253</v>
      </c>
      <c r="L47" s="8"/>
      <c r="M47" s="21"/>
    </row>
    <row r="48" spans="1:12" s="21" customFormat="1" ht="12.75">
      <c r="A48" s="69">
        <v>120000</v>
      </c>
      <c r="B48" s="58" t="s">
        <v>121</v>
      </c>
      <c r="C48" s="45">
        <f>C49+C50</f>
        <v>3080</v>
      </c>
      <c r="D48" s="45">
        <f>D49+D50</f>
        <v>0</v>
      </c>
      <c r="E48" s="45">
        <f>E49+E50</f>
        <v>0</v>
      </c>
      <c r="F48" s="45">
        <f>F49+F50</f>
        <v>3080</v>
      </c>
      <c r="G48" s="45">
        <f>G49+G50</f>
        <v>0</v>
      </c>
      <c r="H48" s="45"/>
      <c r="I48" s="45"/>
      <c r="J48" s="45"/>
      <c r="K48" s="63">
        <f t="shared" si="1"/>
        <v>3080</v>
      </c>
      <c r="L48" s="23"/>
    </row>
    <row r="49" spans="1:13" ht="24" customHeight="1">
      <c r="A49" s="70">
        <v>120201</v>
      </c>
      <c r="B49" s="20" t="s">
        <v>122</v>
      </c>
      <c r="C49" s="30">
        <f>D49+E49+F49+G49</f>
        <v>2403.7</v>
      </c>
      <c r="D49" s="30"/>
      <c r="E49" s="30"/>
      <c r="F49" s="30">
        <v>2403.7</v>
      </c>
      <c r="G49" s="30"/>
      <c r="H49" s="30"/>
      <c r="I49" s="30"/>
      <c r="J49" s="30"/>
      <c r="K49" s="65">
        <f t="shared" si="1"/>
        <v>2403.7</v>
      </c>
      <c r="L49" s="8"/>
      <c r="M49" s="21"/>
    </row>
    <row r="50" spans="1:13" ht="15" customHeight="1">
      <c r="A50" s="70">
        <v>120300</v>
      </c>
      <c r="B50" s="20" t="s">
        <v>123</v>
      </c>
      <c r="C50" s="30">
        <f>D50+E50+F50</f>
        <v>676.3</v>
      </c>
      <c r="D50" s="30"/>
      <c r="E50" s="30"/>
      <c r="F50" s="30">
        <f>260+127.4+288.9</f>
        <v>676.3</v>
      </c>
      <c r="G50" s="30"/>
      <c r="H50" s="30"/>
      <c r="I50" s="30"/>
      <c r="J50" s="30"/>
      <c r="K50" s="65">
        <f t="shared" si="1"/>
        <v>676.3</v>
      </c>
      <c r="L50" s="8"/>
      <c r="M50" s="21"/>
    </row>
    <row r="51" spans="1:12" s="21" customFormat="1" ht="15" customHeight="1">
      <c r="A51" s="69">
        <v>130000</v>
      </c>
      <c r="B51" s="26" t="s">
        <v>124</v>
      </c>
      <c r="C51" s="45">
        <f>D51+E51+F51+G51</f>
        <v>26846.7</v>
      </c>
      <c r="D51" s="45">
        <v>1896.8</v>
      </c>
      <c r="E51" s="45">
        <v>34.7</v>
      </c>
      <c r="F51" s="45">
        <f>19331.2+5000+584</f>
        <v>24915.2</v>
      </c>
      <c r="G51" s="45"/>
      <c r="H51" s="45"/>
      <c r="I51" s="45"/>
      <c r="J51" s="45"/>
      <c r="K51" s="63">
        <f t="shared" si="1"/>
        <v>26846.7</v>
      </c>
      <c r="L51" s="23"/>
    </row>
    <row r="52" spans="1:12" s="21" customFormat="1" ht="15" customHeight="1">
      <c r="A52" s="69">
        <v>150000</v>
      </c>
      <c r="B52" s="26" t="s">
        <v>125</v>
      </c>
      <c r="C52" s="45">
        <f>C53+C55+C56+C57+C54</f>
        <v>0</v>
      </c>
      <c r="D52" s="45">
        <f>D53+D55+D56+D57+D54</f>
        <v>0</v>
      </c>
      <c r="E52" s="45">
        <f>E53+E55+E56+E57+E54</f>
        <v>0</v>
      </c>
      <c r="F52" s="45">
        <f>F53+F55+F56+F57+F54</f>
        <v>0</v>
      </c>
      <c r="G52" s="45">
        <f>G53+G55+G56+G57+G54</f>
        <v>0</v>
      </c>
      <c r="H52" s="45">
        <f>H53+H55+H56+H57+H54+H58</f>
        <v>54793.9</v>
      </c>
      <c r="I52" s="45">
        <f>I53+I55+I56+I57+I54+I58</f>
        <v>54793.9</v>
      </c>
      <c r="J52" s="45">
        <f>J53</f>
        <v>0</v>
      </c>
      <c r="K52" s="63">
        <f>H52+C52</f>
        <v>54793.9</v>
      </c>
      <c r="L52" s="23"/>
    </row>
    <row r="53" spans="1:13" ht="12.75" customHeight="1">
      <c r="A53" s="70">
        <v>150101</v>
      </c>
      <c r="B53" s="20" t="s">
        <v>126</v>
      </c>
      <c r="C53" s="30">
        <f aca="true" t="shared" si="6" ref="C53:C58">D53+E53+F53</f>
        <v>0</v>
      </c>
      <c r="D53" s="30"/>
      <c r="E53" s="30"/>
      <c r="F53" s="30"/>
      <c r="G53" s="30"/>
      <c r="H53" s="30">
        <f>30000+300+1000+3000+12000+2.5-1860</f>
        <v>44442.5</v>
      </c>
      <c r="I53" s="30">
        <f>H53</f>
        <v>44442.5</v>
      </c>
      <c r="J53" s="30"/>
      <c r="K53" s="65">
        <f aca="true" t="shared" si="7" ref="K53:K77">C53+H53</f>
        <v>44442.5</v>
      </c>
      <c r="L53" s="8"/>
      <c r="M53" s="21"/>
    </row>
    <row r="54" spans="1:13" ht="66.75" customHeight="1">
      <c r="A54" s="70" t="s">
        <v>301</v>
      </c>
      <c r="B54" s="71" t="s">
        <v>302</v>
      </c>
      <c r="C54" s="30">
        <f t="shared" si="6"/>
        <v>0</v>
      </c>
      <c r="D54" s="30"/>
      <c r="E54" s="30"/>
      <c r="F54" s="30"/>
      <c r="G54" s="30"/>
      <c r="H54" s="30">
        <v>3891.4</v>
      </c>
      <c r="I54" s="30">
        <v>3891.4</v>
      </c>
      <c r="J54" s="30"/>
      <c r="K54" s="65">
        <f t="shared" si="7"/>
        <v>3891.4</v>
      </c>
      <c r="L54" s="8"/>
      <c r="M54" s="21"/>
    </row>
    <row r="55" spans="1:13" ht="30" customHeight="1">
      <c r="A55" s="70" t="s">
        <v>303</v>
      </c>
      <c r="B55" s="71" t="s">
        <v>304</v>
      </c>
      <c r="C55" s="30">
        <f t="shared" si="6"/>
        <v>0</v>
      </c>
      <c r="D55" s="30"/>
      <c r="E55" s="30"/>
      <c r="F55" s="30"/>
      <c r="G55" s="30"/>
      <c r="H55" s="30">
        <f>I55</f>
        <v>2460</v>
      </c>
      <c r="I55" s="30">
        <f>600+1860</f>
        <v>2460</v>
      </c>
      <c r="J55" s="30"/>
      <c r="K55" s="65">
        <f t="shared" si="7"/>
        <v>2460</v>
      </c>
      <c r="L55" s="8"/>
      <c r="M55" s="21"/>
    </row>
    <row r="56" spans="1:13" ht="42" customHeight="1" hidden="1">
      <c r="A56" s="70" t="s">
        <v>305</v>
      </c>
      <c r="B56" s="71" t="s">
        <v>306</v>
      </c>
      <c r="C56" s="30">
        <f t="shared" si="6"/>
        <v>0</v>
      </c>
      <c r="D56" s="30"/>
      <c r="E56" s="30"/>
      <c r="F56" s="30"/>
      <c r="G56" s="30"/>
      <c r="H56" s="30">
        <f>I56</f>
        <v>0</v>
      </c>
      <c r="I56" s="30"/>
      <c r="J56" s="30"/>
      <c r="K56" s="65">
        <f t="shared" si="7"/>
        <v>0</v>
      </c>
      <c r="L56" s="8"/>
      <c r="M56" s="21"/>
    </row>
    <row r="57" spans="1:13" ht="12.75" customHeight="1">
      <c r="A57" s="70" t="s">
        <v>307</v>
      </c>
      <c r="B57" s="20" t="s">
        <v>308</v>
      </c>
      <c r="C57" s="30">
        <f t="shared" si="6"/>
        <v>0</v>
      </c>
      <c r="D57" s="30"/>
      <c r="E57" s="30"/>
      <c r="F57" s="30"/>
      <c r="G57" s="30"/>
      <c r="H57" s="30">
        <f>I57</f>
        <v>4000</v>
      </c>
      <c r="I57" s="30">
        <v>4000</v>
      </c>
      <c r="J57" s="30"/>
      <c r="K57" s="65">
        <f t="shared" si="7"/>
        <v>4000</v>
      </c>
      <c r="L57" s="8"/>
      <c r="M57" s="21"/>
    </row>
    <row r="58" spans="1:13" ht="12.75" customHeight="1" hidden="1">
      <c r="A58" s="70" t="s">
        <v>309</v>
      </c>
      <c r="B58" s="20" t="s">
        <v>310</v>
      </c>
      <c r="C58" s="30">
        <f t="shared" si="6"/>
        <v>0</v>
      </c>
      <c r="D58" s="30"/>
      <c r="E58" s="30"/>
      <c r="F58" s="30"/>
      <c r="G58" s="30"/>
      <c r="H58" s="30">
        <f>I58</f>
        <v>0</v>
      </c>
      <c r="I58" s="30"/>
      <c r="J58" s="30"/>
      <c r="K58" s="65">
        <f t="shared" si="7"/>
        <v>0</v>
      </c>
      <c r="L58" s="8"/>
      <c r="M58" s="21"/>
    </row>
    <row r="59" spans="1:12" s="21" customFormat="1" ht="24.75" customHeight="1">
      <c r="A59" s="69">
        <v>170000</v>
      </c>
      <c r="B59" s="26" t="s">
        <v>127</v>
      </c>
      <c r="C59" s="45">
        <f>C61+C60</f>
        <v>0</v>
      </c>
      <c r="D59" s="45">
        <f>D61+D60</f>
        <v>0</v>
      </c>
      <c r="E59" s="45">
        <f>E61+E60</f>
        <v>0</v>
      </c>
      <c r="F59" s="45">
        <f>F61+F60</f>
        <v>0</v>
      </c>
      <c r="G59" s="45">
        <f>G61+G60</f>
        <v>0</v>
      </c>
      <c r="H59" s="45">
        <f>H61</f>
        <v>33500</v>
      </c>
      <c r="I59" s="45"/>
      <c r="J59" s="45"/>
      <c r="K59" s="63">
        <f t="shared" si="7"/>
        <v>33500</v>
      </c>
      <c r="L59" s="23"/>
    </row>
    <row r="60" spans="1:12" s="21" customFormat="1" ht="12.75" hidden="1">
      <c r="A60" s="70" t="s">
        <v>311</v>
      </c>
      <c r="B60" s="20" t="s">
        <v>312</v>
      </c>
      <c r="C60" s="30">
        <f>D60+E60+F60</f>
        <v>0</v>
      </c>
      <c r="D60" s="30"/>
      <c r="E60" s="30"/>
      <c r="F60" s="30"/>
      <c r="G60" s="30"/>
      <c r="H60" s="30"/>
      <c r="I60" s="30"/>
      <c r="J60" s="30"/>
      <c r="K60" s="65">
        <f t="shared" si="7"/>
        <v>0</v>
      </c>
      <c r="L60" s="23"/>
    </row>
    <row r="61" spans="1:13" ht="41.25" customHeight="1">
      <c r="A61" s="70">
        <v>170703</v>
      </c>
      <c r="B61" s="20" t="s">
        <v>313</v>
      </c>
      <c r="C61" s="30">
        <f>D61+E61+F61</f>
        <v>0</v>
      </c>
      <c r="D61" s="30"/>
      <c r="E61" s="30"/>
      <c r="F61" s="30"/>
      <c r="G61" s="30"/>
      <c r="H61" s="30">
        <f>36050-2550</f>
        <v>33500</v>
      </c>
      <c r="I61" s="30"/>
      <c r="J61" s="30"/>
      <c r="K61" s="65">
        <f t="shared" si="7"/>
        <v>33500</v>
      </c>
      <c r="L61" s="8"/>
      <c r="M61" s="21"/>
    </row>
    <row r="62" spans="1:13" ht="38.25" customHeight="1">
      <c r="A62" s="69">
        <v>180109</v>
      </c>
      <c r="B62" s="26" t="s">
        <v>129</v>
      </c>
      <c r="C62" s="45">
        <f>D62+E62+F62</f>
        <v>4625</v>
      </c>
      <c r="D62" s="30"/>
      <c r="E62" s="30"/>
      <c r="F62" s="45">
        <f>2400+1825+400</f>
        <v>4625</v>
      </c>
      <c r="G62" s="30"/>
      <c r="H62" s="45"/>
      <c r="I62" s="45"/>
      <c r="J62" s="30"/>
      <c r="K62" s="63">
        <f t="shared" si="7"/>
        <v>4625</v>
      </c>
      <c r="L62" s="8"/>
      <c r="M62" s="21"/>
    </row>
    <row r="63" spans="1:13" ht="21.75" customHeight="1">
      <c r="A63" s="69" t="s">
        <v>68</v>
      </c>
      <c r="B63" s="54" t="s">
        <v>69</v>
      </c>
      <c r="C63" s="45">
        <f>D63+E63+F63</f>
        <v>450</v>
      </c>
      <c r="D63" s="30"/>
      <c r="E63" s="30"/>
      <c r="F63" s="45">
        <v>450</v>
      </c>
      <c r="G63" s="30"/>
      <c r="H63" s="45"/>
      <c r="I63" s="30"/>
      <c r="J63" s="30"/>
      <c r="K63" s="63">
        <f t="shared" si="7"/>
        <v>450</v>
      </c>
      <c r="L63" s="8"/>
      <c r="M63" s="21"/>
    </row>
    <row r="64" spans="1:13" ht="25.5" customHeight="1">
      <c r="A64" s="69">
        <v>180404</v>
      </c>
      <c r="B64" s="26" t="s">
        <v>130</v>
      </c>
      <c r="C64" s="45">
        <f>D64+E64+F64</f>
        <v>200</v>
      </c>
      <c r="D64" s="30"/>
      <c r="E64" s="30"/>
      <c r="F64" s="45">
        <v>200</v>
      </c>
      <c r="G64" s="30"/>
      <c r="H64" s="45"/>
      <c r="I64" s="30"/>
      <c r="J64" s="30"/>
      <c r="K64" s="63">
        <f t="shared" si="7"/>
        <v>200</v>
      </c>
      <c r="L64" s="8"/>
      <c r="M64" s="21"/>
    </row>
    <row r="65" spans="1:13" ht="54.75" customHeight="1">
      <c r="A65" s="69" t="s">
        <v>314</v>
      </c>
      <c r="B65" s="26" t="s">
        <v>315</v>
      </c>
      <c r="C65" s="45"/>
      <c r="D65" s="30"/>
      <c r="E65" s="30"/>
      <c r="F65" s="45"/>
      <c r="G65" s="30"/>
      <c r="H65" s="45">
        <f>I65</f>
        <v>160</v>
      </c>
      <c r="I65" s="45">
        <f>60+100</f>
        <v>160</v>
      </c>
      <c r="J65" s="30"/>
      <c r="K65" s="63">
        <f t="shared" si="7"/>
        <v>160</v>
      </c>
      <c r="L65" s="8"/>
      <c r="M65" s="21"/>
    </row>
    <row r="66" spans="1:12" s="21" customFormat="1" ht="25.5">
      <c r="A66" s="69">
        <v>210000</v>
      </c>
      <c r="B66" s="57" t="s">
        <v>316</v>
      </c>
      <c r="C66" s="45">
        <f>D66+E66+F66+G66</f>
        <v>3463</v>
      </c>
      <c r="D66" s="45"/>
      <c r="E66" s="45"/>
      <c r="F66" s="45">
        <f>3000+463</f>
        <v>3463</v>
      </c>
      <c r="G66" s="45"/>
      <c r="H66" s="45"/>
      <c r="I66" s="45"/>
      <c r="J66" s="45"/>
      <c r="K66" s="63">
        <f t="shared" si="7"/>
        <v>3463</v>
      </c>
      <c r="L66" s="23"/>
    </row>
    <row r="67" spans="1:12" s="21" customFormat="1" ht="16.5" customHeight="1">
      <c r="A67" s="62" t="s">
        <v>166</v>
      </c>
      <c r="B67" s="72" t="s">
        <v>167</v>
      </c>
      <c r="C67" s="45">
        <f>D67+E67+F67</f>
        <v>0</v>
      </c>
      <c r="D67" s="45"/>
      <c r="E67" s="45"/>
      <c r="F67" s="45"/>
      <c r="G67" s="45"/>
      <c r="H67" s="45">
        <v>821</v>
      </c>
      <c r="I67" s="45"/>
      <c r="J67" s="45"/>
      <c r="K67" s="63">
        <f t="shared" si="7"/>
        <v>821</v>
      </c>
      <c r="L67" s="23"/>
    </row>
    <row r="68" spans="1:12" s="21" customFormat="1" ht="16.5" customHeight="1" hidden="1">
      <c r="A68" s="62" t="s">
        <v>70</v>
      </c>
      <c r="B68" s="54" t="s">
        <v>71</v>
      </c>
      <c r="C68" s="45">
        <f>D68+E68+F68</f>
        <v>0</v>
      </c>
      <c r="D68" s="45"/>
      <c r="E68" s="45"/>
      <c r="F68" s="45">
        <f>212-212</f>
        <v>0</v>
      </c>
      <c r="G68" s="45"/>
      <c r="H68" s="45"/>
      <c r="I68" s="45"/>
      <c r="J68" s="45"/>
      <c r="K68" s="63">
        <f t="shared" si="7"/>
        <v>0</v>
      </c>
      <c r="L68" s="23"/>
    </row>
    <row r="69" spans="1:12" s="21" customFormat="1" ht="13.5" customHeight="1">
      <c r="A69" s="69">
        <v>230000</v>
      </c>
      <c r="B69" s="26" t="s">
        <v>131</v>
      </c>
      <c r="C69" s="45">
        <f>D69+E69+F69</f>
        <v>0.1</v>
      </c>
      <c r="D69" s="45"/>
      <c r="E69" s="45"/>
      <c r="F69" s="45">
        <v>0.1</v>
      </c>
      <c r="G69" s="45"/>
      <c r="H69" s="45"/>
      <c r="I69" s="45"/>
      <c r="J69" s="45"/>
      <c r="K69" s="63">
        <f t="shared" si="7"/>
        <v>0.1</v>
      </c>
      <c r="L69" s="23"/>
    </row>
    <row r="70" spans="1:13" s="21" customFormat="1" ht="13.5" customHeight="1">
      <c r="A70" s="62">
        <v>240000</v>
      </c>
      <c r="B70" s="26" t="s">
        <v>132</v>
      </c>
      <c r="C70" s="45">
        <f aca="true" t="shared" si="8" ref="C70:H70">C71</f>
        <v>0</v>
      </c>
      <c r="D70" s="45">
        <f t="shared" si="8"/>
        <v>0</v>
      </c>
      <c r="E70" s="45">
        <f t="shared" si="8"/>
        <v>0</v>
      </c>
      <c r="F70" s="45">
        <f t="shared" si="8"/>
        <v>0</v>
      </c>
      <c r="G70" s="45">
        <f t="shared" si="8"/>
        <v>0</v>
      </c>
      <c r="H70" s="45">
        <f t="shared" si="8"/>
        <v>45500</v>
      </c>
      <c r="I70" s="45"/>
      <c r="J70" s="45"/>
      <c r="K70" s="63">
        <f t="shared" si="7"/>
        <v>45500</v>
      </c>
      <c r="L70" s="23"/>
      <c r="M70" s="21">
        <f>3840.4+420</f>
        <v>4260.4</v>
      </c>
    </row>
    <row r="71" spans="1:13" ht="70.5" customHeight="1">
      <c r="A71" s="64" t="s">
        <v>221</v>
      </c>
      <c r="B71" s="24" t="s">
        <v>133</v>
      </c>
      <c r="C71" s="30">
        <f>D71+E71+F71</f>
        <v>0</v>
      </c>
      <c r="D71" s="30"/>
      <c r="E71" s="30"/>
      <c r="F71" s="30"/>
      <c r="G71" s="30"/>
      <c r="H71" s="30">
        <v>45500</v>
      </c>
      <c r="I71" s="30"/>
      <c r="J71" s="30"/>
      <c r="K71" s="65">
        <f t="shared" si="7"/>
        <v>45500</v>
      </c>
      <c r="L71" s="8"/>
      <c r="M71" s="21"/>
    </row>
    <row r="72" spans="1:12" s="21" customFormat="1" ht="12.75">
      <c r="A72" s="69">
        <v>250000</v>
      </c>
      <c r="B72" s="72" t="s">
        <v>134</v>
      </c>
      <c r="C72" s="67">
        <f>C73+C74+C79+C77+C76+C75</f>
        <v>57418.8</v>
      </c>
      <c r="D72" s="67">
        <f>D73+D74+D79+D77+D76+D75</f>
        <v>2</v>
      </c>
      <c r="E72" s="67">
        <f>E73+E74+E79+E77+E76+E75</f>
        <v>0</v>
      </c>
      <c r="F72" s="67">
        <f>F73+F74+F79+F77+F76+F75</f>
        <v>57416.8</v>
      </c>
      <c r="G72" s="67">
        <f>G73+G74+G79+G77</f>
        <v>0</v>
      </c>
      <c r="H72" s="67">
        <f>H73+H74+H79+H77+H78</f>
        <v>0</v>
      </c>
      <c r="I72" s="67">
        <f>I73+I74+I79+I77+I78</f>
        <v>0</v>
      </c>
      <c r="J72" s="67"/>
      <c r="K72" s="68">
        <f t="shared" si="7"/>
        <v>57418.8</v>
      </c>
      <c r="L72" s="23"/>
    </row>
    <row r="73" spans="1:13" ht="12.75">
      <c r="A73" s="70">
        <v>250102</v>
      </c>
      <c r="B73" s="20" t="s">
        <v>135</v>
      </c>
      <c r="C73" s="30">
        <f aca="true" t="shared" si="9" ref="C73:C79">D73+E73+F73</f>
        <v>3000</v>
      </c>
      <c r="D73" s="30"/>
      <c r="E73" s="30"/>
      <c r="F73" s="30">
        <f>3000</f>
        <v>3000</v>
      </c>
      <c r="G73" s="30"/>
      <c r="H73" s="30"/>
      <c r="I73" s="30"/>
      <c r="J73" s="30"/>
      <c r="K73" s="65">
        <f t="shared" si="7"/>
        <v>3000</v>
      </c>
      <c r="L73" s="8"/>
      <c r="M73" s="21"/>
    </row>
    <row r="74" spans="1:13" ht="12.75">
      <c r="A74" s="70">
        <v>250203</v>
      </c>
      <c r="B74" s="20" t="s">
        <v>317</v>
      </c>
      <c r="C74" s="30">
        <f t="shared" si="9"/>
        <v>4.6</v>
      </c>
      <c r="D74" s="30">
        <v>2</v>
      </c>
      <c r="E74" s="30"/>
      <c r="F74" s="30">
        <f>4.6-2</f>
        <v>2.5999999999999996</v>
      </c>
      <c r="G74" s="30"/>
      <c r="H74" s="30"/>
      <c r="I74" s="30"/>
      <c r="J74" s="30"/>
      <c r="K74" s="65">
        <f t="shared" si="7"/>
        <v>4.6</v>
      </c>
      <c r="L74" s="8"/>
      <c r="M74" s="21"/>
    </row>
    <row r="75" spans="1:13" ht="12.75" hidden="1">
      <c r="A75" s="70" t="s">
        <v>318</v>
      </c>
      <c r="B75" s="20" t="s">
        <v>319</v>
      </c>
      <c r="C75" s="30">
        <f t="shared" si="9"/>
        <v>0</v>
      </c>
      <c r="D75" s="30"/>
      <c r="E75" s="30"/>
      <c r="F75" s="30"/>
      <c r="G75" s="30"/>
      <c r="H75" s="30"/>
      <c r="I75" s="30"/>
      <c r="J75" s="30"/>
      <c r="K75" s="65">
        <f t="shared" si="7"/>
        <v>0</v>
      </c>
      <c r="L75" s="8"/>
      <c r="M75" s="21"/>
    </row>
    <row r="76" spans="1:13" ht="26.25" customHeight="1">
      <c r="A76" s="70">
        <v>250306</v>
      </c>
      <c r="B76" s="20" t="s">
        <v>139</v>
      </c>
      <c r="C76" s="30">
        <f t="shared" si="9"/>
        <v>53953.9</v>
      </c>
      <c r="D76" s="30"/>
      <c r="E76" s="30"/>
      <c r="F76" s="30">
        <f>3891.4+51002.5-940</f>
        <v>53953.9</v>
      </c>
      <c r="G76" s="30"/>
      <c r="H76" s="30"/>
      <c r="I76" s="30"/>
      <c r="J76" s="30"/>
      <c r="K76" s="65">
        <f t="shared" si="7"/>
        <v>53953.9</v>
      </c>
      <c r="L76" s="8"/>
      <c r="M76" s="21"/>
    </row>
    <row r="77" spans="1:13" ht="26.25" customHeight="1">
      <c r="A77" s="70" t="s">
        <v>320</v>
      </c>
      <c r="B77" s="20" t="s">
        <v>321</v>
      </c>
      <c r="C77" s="30">
        <f t="shared" si="9"/>
        <v>181.29999999999998</v>
      </c>
      <c r="D77" s="30"/>
      <c r="E77" s="30"/>
      <c r="F77" s="30">
        <f>181.2+0.1</f>
        <v>181.29999999999998</v>
      </c>
      <c r="G77" s="30"/>
      <c r="H77" s="30"/>
      <c r="I77" s="30"/>
      <c r="J77" s="30"/>
      <c r="K77" s="65">
        <f t="shared" si="7"/>
        <v>181.29999999999998</v>
      </c>
      <c r="L77" s="8"/>
      <c r="M77" s="21"/>
    </row>
    <row r="78" spans="1:59" ht="25.5" hidden="1">
      <c r="A78" s="70" t="s">
        <v>322</v>
      </c>
      <c r="B78" s="20" t="s">
        <v>323</v>
      </c>
      <c r="C78" s="30">
        <f t="shared" si="9"/>
        <v>0</v>
      </c>
      <c r="D78" s="25"/>
      <c r="E78" s="25"/>
      <c r="F78" s="25"/>
      <c r="G78" s="25"/>
      <c r="H78" s="25">
        <f>I78</f>
        <v>0</v>
      </c>
      <c r="I78" s="25"/>
      <c r="J78" s="25"/>
      <c r="K78" s="73">
        <f>H78+C78</f>
        <v>0</v>
      </c>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row>
    <row r="79" spans="1:13" ht="12.75">
      <c r="A79" s="70">
        <v>250404</v>
      </c>
      <c r="B79" s="20" t="s">
        <v>137</v>
      </c>
      <c r="C79" s="30">
        <f t="shared" si="9"/>
        <v>279</v>
      </c>
      <c r="D79" s="30"/>
      <c r="E79" s="30"/>
      <c r="F79" s="30">
        <f>279</f>
        <v>279</v>
      </c>
      <c r="G79" s="30"/>
      <c r="H79" s="30"/>
      <c r="I79" s="30"/>
      <c r="J79" s="30"/>
      <c r="K79" s="65">
        <f>C79+H79</f>
        <v>279</v>
      </c>
      <c r="L79" s="8"/>
      <c r="M79" s="21"/>
    </row>
    <row r="80" spans="1:13" s="21" customFormat="1" ht="18" customHeight="1">
      <c r="A80" s="69"/>
      <c r="B80" s="26" t="s">
        <v>138</v>
      </c>
      <c r="C80" s="45">
        <f>C72+C71+C69+C67+C66+C65+C64+C62+C59+C52+C51+C48+C44+C42+C19+C18+C17+C15+C13+C63+C68</f>
        <v>666769.6000000001</v>
      </c>
      <c r="D80" s="45">
        <f>D72+D71+D69+D67+D66+D65+D64+D62+D59+D52+D51+D48+D44+D42+D19+D18+D17+D15+D13+D68</f>
        <v>201199.7</v>
      </c>
      <c r="E80" s="45">
        <f>E72+E71+E69+E67+E66+E65+E64+E62+E59+E52+E51+E48+E44+E42+E19+E18+E17+E15+E13+E68</f>
        <v>39898.5</v>
      </c>
      <c r="F80" s="45">
        <f>F72+F71+F69+F67+F66+F65+F64+F62+F59+F52+F51+F48+F44+F42+F19+F18+F17+F15+F13+F63+F68</f>
        <v>417416.69999999995</v>
      </c>
      <c r="G80" s="45">
        <f>G72+G71+G69+G67+G66+G65+G64+G62+G59+G52+G51+G48+G44+G42+G19+G18+G17+G15+G13</f>
        <v>8254.7</v>
      </c>
      <c r="H80" s="45">
        <f>H13+H15+H17+H18+H19+H42+H44+H48+H51+H52+H59+H62+H64+H66+H69+H70+H72+H67+H65</f>
        <v>158423.5</v>
      </c>
      <c r="I80" s="45">
        <f>I13+I15+I17+I18+I19+I42+I44+I48+I51+I52+I59+I62+I64+I66+I69+I70+I72+I67+I65</f>
        <v>54953.9</v>
      </c>
      <c r="J80" s="45">
        <f>J13+J15+J17+J18+J19+J42+J44+J48+J51+J52+J59+J62+J64+J66+J69+J70+J72+J67+J65</f>
        <v>0</v>
      </c>
      <c r="K80" s="63">
        <f>K13+K15+K17+K18+K19+K42+K44+K48+K51+K52+K59+K62+K64+K66+K69+K70+K72+K67+K65+K63+K68</f>
        <v>825193.1000000002</v>
      </c>
      <c r="L80" s="28">
        <f>D80+E80+F80+G80</f>
        <v>666769.5999999999</v>
      </c>
      <c r="M80" s="29"/>
    </row>
    <row r="81" spans="1:13" s="21" customFormat="1" ht="63.75">
      <c r="A81" s="70" t="s">
        <v>324</v>
      </c>
      <c r="B81" s="46" t="s">
        <v>325</v>
      </c>
      <c r="C81" s="30">
        <f>D81+E81+F81</f>
        <v>14398.5</v>
      </c>
      <c r="D81" s="45"/>
      <c r="E81" s="45"/>
      <c r="F81" s="30">
        <v>14398.5</v>
      </c>
      <c r="G81" s="45"/>
      <c r="H81" s="45"/>
      <c r="I81" s="45"/>
      <c r="J81" s="45"/>
      <c r="K81" s="65">
        <f aca="true" t="shared" si="10" ref="K81:K88">C81+H81</f>
        <v>14398.5</v>
      </c>
      <c r="L81" s="28"/>
      <c r="M81" s="29"/>
    </row>
    <row r="82" spans="1:13" s="21" customFormat="1" ht="76.5" hidden="1">
      <c r="A82" s="70" t="s">
        <v>326</v>
      </c>
      <c r="B82" s="46" t="s">
        <v>327</v>
      </c>
      <c r="C82" s="30">
        <f>D82+E82+F82</f>
        <v>0</v>
      </c>
      <c r="D82" s="45"/>
      <c r="E82" s="45"/>
      <c r="F82" s="30"/>
      <c r="G82" s="45"/>
      <c r="H82" s="45"/>
      <c r="I82" s="45"/>
      <c r="J82" s="45"/>
      <c r="K82" s="65">
        <f t="shared" si="10"/>
        <v>0</v>
      </c>
      <c r="L82" s="28"/>
      <c r="M82" s="29"/>
    </row>
    <row r="83" spans="1:13" s="21" customFormat="1" ht="63.75" hidden="1">
      <c r="A83" s="70" t="s">
        <v>328</v>
      </c>
      <c r="B83" s="74" t="s">
        <v>329</v>
      </c>
      <c r="C83" s="30">
        <f>D83+E83+F83</f>
        <v>0</v>
      </c>
      <c r="D83" s="45"/>
      <c r="E83" s="45"/>
      <c r="F83" s="30"/>
      <c r="G83" s="45"/>
      <c r="H83" s="45"/>
      <c r="I83" s="45"/>
      <c r="J83" s="45"/>
      <c r="K83" s="65">
        <f t="shared" si="10"/>
        <v>0</v>
      </c>
      <c r="L83" s="28"/>
      <c r="M83" s="29"/>
    </row>
    <row r="84" spans="1:13" ht="41.25" customHeight="1">
      <c r="A84" s="70">
        <v>250301</v>
      </c>
      <c r="B84" s="52" t="s">
        <v>330</v>
      </c>
      <c r="C84" s="30">
        <f>D84+E84+F84</f>
        <v>25306.9</v>
      </c>
      <c r="D84" s="30"/>
      <c r="E84" s="30"/>
      <c r="F84" s="30">
        <v>25306.9</v>
      </c>
      <c r="G84" s="30"/>
      <c r="H84" s="30"/>
      <c r="I84" s="30"/>
      <c r="J84" s="30"/>
      <c r="K84" s="65">
        <f t="shared" si="10"/>
        <v>25306.9</v>
      </c>
      <c r="L84" s="8"/>
      <c r="M84" s="21"/>
    </row>
    <row r="85" spans="1:13" ht="12.75" hidden="1">
      <c r="A85" s="75"/>
      <c r="B85" s="76"/>
      <c r="C85" s="30"/>
      <c r="D85" s="45"/>
      <c r="E85" s="45"/>
      <c r="F85" s="76"/>
      <c r="G85" s="45"/>
      <c r="H85" s="45"/>
      <c r="I85" s="45"/>
      <c r="J85" s="45"/>
      <c r="K85" s="65">
        <f t="shared" si="10"/>
        <v>0</v>
      </c>
      <c r="L85" s="8"/>
      <c r="M85" s="21"/>
    </row>
    <row r="86" spans="1:13" ht="30" customHeight="1">
      <c r="A86" s="70" t="s">
        <v>389</v>
      </c>
      <c r="B86" s="74" t="s">
        <v>390</v>
      </c>
      <c r="C86" s="30">
        <f>D86+E86+F86</f>
        <v>524.8</v>
      </c>
      <c r="D86" s="45"/>
      <c r="E86" s="45"/>
      <c r="F86" s="30">
        <v>524.8</v>
      </c>
      <c r="G86" s="45"/>
      <c r="H86" s="45"/>
      <c r="I86" s="45"/>
      <c r="J86" s="45"/>
      <c r="K86" s="65">
        <f t="shared" si="10"/>
        <v>524.8</v>
      </c>
      <c r="L86" s="8"/>
      <c r="M86" s="21"/>
    </row>
    <row r="87" spans="1:13" ht="39.75" customHeight="1">
      <c r="A87" s="70" t="s">
        <v>332</v>
      </c>
      <c r="B87" s="46" t="s">
        <v>333</v>
      </c>
      <c r="C87" s="30">
        <f>D87+E87+F87</f>
        <v>135671.6</v>
      </c>
      <c r="D87" s="45"/>
      <c r="E87" s="45"/>
      <c r="F87" s="30">
        <v>135671.6</v>
      </c>
      <c r="G87" s="45"/>
      <c r="H87" s="45"/>
      <c r="I87" s="45"/>
      <c r="J87" s="45"/>
      <c r="K87" s="65">
        <f t="shared" si="10"/>
        <v>135671.6</v>
      </c>
      <c r="L87" s="8"/>
      <c r="M87" s="21"/>
    </row>
    <row r="88" spans="1:13" ht="132" customHeight="1">
      <c r="A88" s="168" t="s">
        <v>334</v>
      </c>
      <c r="B88" s="206" t="s">
        <v>74</v>
      </c>
      <c r="C88" s="320">
        <f>D88+E88+F88</f>
        <v>214383.2</v>
      </c>
      <c r="D88" s="319"/>
      <c r="E88" s="319"/>
      <c r="F88" s="318">
        <v>214383.2</v>
      </c>
      <c r="G88" s="319"/>
      <c r="H88" s="319"/>
      <c r="I88" s="319"/>
      <c r="J88" s="319"/>
      <c r="K88" s="317">
        <f t="shared" si="10"/>
        <v>214383.2</v>
      </c>
      <c r="L88" s="8"/>
      <c r="M88" s="21"/>
    </row>
    <row r="89" spans="1:13" ht="220.5" customHeight="1">
      <c r="A89" s="190"/>
      <c r="B89" s="204" t="s">
        <v>443</v>
      </c>
      <c r="C89" s="320"/>
      <c r="D89" s="319"/>
      <c r="E89" s="319"/>
      <c r="F89" s="318"/>
      <c r="G89" s="319"/>
      <c r="H89" s="319"/>
      <c r="I89" s="319"/>
      <c r="J89" s="319"/>
      <c r="K89" s="317"/>
      <c r="L89" s="8"/>
      <c r="M89" s="21"/>
    </row>
    <row r="90" spans="1:13" ht="156" customHeight="1">
      <c r="A90" s="196" t="s">
        <v>335</v>
      </c>
      <c r="B90" s="207" t="s">
        <v>73</v>
      </c>
      <c r="C90" s="172">
        <f aca="true" t="shared" si="11" ref="C90:C98">D90+E90+F90</f>
        <v>76175.4</v>
      </c>
      <c r="D90" s="45"/>
      <c r="E90" s="45"/>
      <c r="F90" s="30">
        <v>76175.4</v>
      </c>
      <c r="G90" s="45"/>
      <c r="H90" s="45"/>
      <c r="I90" s="45"/>
      <c r="J90" s="45"/>
      <c r="K90" s="65">
        <f aca="true" t="shared" si="12" ref="K90:K98">C90+H90</f>
        <v>76175.4</v>
      </c>
      <c r="L90" s="8"/>
      <c r="M90" s="21"/>
    </row>
    <row r="91" spans="1:13" ht="135" customHeight="1">
      <c r="A91" s="186" t="s">
        <v>336</v>
      </c>
      <c r="B91" s="206" t="s">
        <v>74</v>
      </c>
      <c r="C91" s="193"/>
      <c r="D91" s="194"/>
      <c r="E91" s="194"/>
      <c r="F91" s="193"/>
      <c r="G91" s="194"/>
      <c r="H91" s="194"/>
      <c r="I91" s="194"/>
      <c r="J91" s="194"/>
      <c r="K91" s="195"/>
      <c r="L91" s="8"/>
      <c r="M91" s="21"/>
    </row>
    <row r="92" spans="1:13" s="21" customFormat="1" ht="216">
      <c r="A92" s="199"/>
      <c r="B92" s="205" t="s">
        <v>444</v>
      </c>
      <c r="C92" s="173">
        <f t="shared" si="11"/>
        <v>21494.7</v>
      </c>
      <c r="D92" s="173"/>
      <c r="E92" s="173"/>
      <c r="F92" s="173">
        <v>21494.7</v>
      </c>
      <c r="G92" s="173"/>
      <c r="H92" s="173"/>
      <c r="I92" s="173"/>
      <c r="J92" s="173"/>
      <c r="K92" s="192">
        <f t="shared" si="12"/>
        <v>21494.7</v>
      </c>
      <c r="L92" s="28"/>
      <c r="M92" s="29"/>
    </row>
    <row r="93" spans="1:13" s="21" customFormat="1" ht="51" hidden="1">
      <c r="A93" s="70" t="s">
        <v>337</v>
      </c>
      <c r="B93" s="71" t="s">
        <v>338</v>
      </c>
      <c r="C93" s="30">
        <f t="shared" si="11"/>
        <v>0</v>
      </c>
      <c r="D93" s="30"/>
      <c r="E93" s="30"/>
      <c r="F93" s="30"/>
      <c r="G93" s="30"/>
      <c r="H93" s="30"/>
      <c r="I93" s="30"/>
      <c r="J93" s="30"/>
      <c r="K93" s="65">
        <f t="shared" si="12"/>
        <v>0</v>
      </c>
      <c r="L93" s="28"/>
      <c r="M93" s="29"/>
    </row>
    <row r="94" spans="1:12" s="21" customFormat="1" ht="38.25" hidden="1">
      <c r="A94" s="70" t="s">
        <v>339</v>
      </c>
      <c r="B94" s="71" t="s">
        <v>340</v>
      </c>
      <c r="C94" s="30">
        <f t="shared" si="11"/>
        <v>0</v>
      </c>
      <c r="D94" s="30"/>
      <c r="E94" s="30"/>
      <c r="F94" s="30"/>
      <c r="G94" s="30"/>
      <c r="H94" s="30"/>
      <c r="I94" s="30"/>
      <c r="J94" s="30"/>
      <c r="K94" s="65">
        <f t="shared" si="12"/>
        <v>0</v>
      </c>
      <c r="L94" s="23"/>
    </row>
    <row r="95" spans="1:12" s="21" customFormat="1" ht="63.75" hidden="1">
      <c r="A95" s="70" t="s">
        <v>341</v>
      </c>
      <c r="B95" s="71" t="s">
        <v>342</v>
      </c>
      <c r="C95" s="30">
        <f t="shared" si="11"/>
        <v>0</v>
      </c>
      <c r="D95" s="30"/>
      <c r="E95" s="30"/>
      <c r="F95" s="30"/>
      <c r="G95" s="30"/>
      <c r="H95" s="30"/>
      <c r="I95" s="30"/>
      <c r="J95" s="30"/>
      <c r="K95" s="65">
        <f t="shared" si="12"/>
        <v>0</v>
      </c>
      <c r="L95" s="23"/>
    </row>
    <row r="96" spans="1:12" s="21" customFormat="1" ht="12.75">
      <c r="A96" s="70" t="s">
        <v>343</v>
      </c>
      <c r="B96" s="71" t="s">
        <v>262</v>
      </c>
      <c r="C96" s="30">
        <f t="shared" si="11"/>
        <v>2200</v>
      </c>
      <c r="D96" s="30"/>
      <c r="E96" s="30"/>
      <c r="F96" s="30">
        <f>1200+1000</f>
        <v>2200</v>
      </c>
      <c r="G96" s="30"/>
      <c r="H96" s="30"/>
      <c r="I96" s="30"/>
      <c r="J96" s="30"/>
      <c r="K96" s="65">
        <f t="shared" si="12"/>
        <v>2200</v>
      </c>
      <c r="L96" s="23"/>
    </row>
    <row r="97" spans="1:12" s="21" customFormat="1" ht="38.25" hidden="1">
      <c r="A97" s="70" t="s">
        <v>344</v>
      </c>
      <c r="B97" s="71" t="s">
        <v>345</v>
      </c>
      <c r="C97" s="30">
        <f t="shared" si="11"/>
        <v>0</v>
      </c>
      <c r="D97" s="30"/>
      <c r="E97" s="30"/>
      <c r="F97" s="30"/>
      <c r="G97" s="30"/>
      <c r="H97" s="30"/>
      <c r="I97" s="30"/>
      <c r="J97" s="30"/>
      <c r="K97" s="65">
        <f t="shared" si="12"/>
        <v>0</v>
      </c>
      <c r="L97" s="23"/>
    </row>
    <row r="98" spans="1:12" s="21" customFormat="1" ht="38.25" hidden="1">
      <c r="A98" s="70" t="s">
        <v>346</v>
      </c>
      <c r="B98" s="71" t="s">
        <v>347</v>
      </c>
      <c r="C98" s="30">
        <f t="shared" si="11"/>
        <v>0</v>
      </c>
      <c r="D98" s="30"/>
      <c r="E98" s="30"/>
      <c r="F98" s="30"/>
      <c r="G98" s="30"/>
      <c r="H98" s="30"/>
      <c r="I98" s="30"/>
      <c r="J98" s="30"/>
      <c r="K98" s="65">
        <f t="shared" si="12"/>
        <v>0</v>
      </c>
      <c r="L98" s="23"/>
    </row>
    <row r="99" spans="1:13" s="21" customFormat="1" ht="13.5" thickBot="1">
      <c r="A99" s="321" t="s">
        <v>140</v>
      </c>
      <c r="B99" s="322"/>
      <c r="C99" s="77">
        <f>C94+C92+C90+C88+C87+C85+C84+C80+C93+C96+C86+C95+C97+C98+C83+C81+C82</f>
        <v>1156924.7000000002</v>
      </c>
      <c r="D99" s="77">
        <f>D94+D92+D90+D88+D87+D85+D84+D80+D93+D96+D86+D95+D97+D98+D83+D81+D82</f>
        <v>201199.7</v>
      </c>
      <c r="E99" s="77">
        <f>E94+E92+E90+E88+E87+E85+E84+E80+E93+E96+E86+E95+E97+E98+E83+E81+E82</f>
        <v>39898.5</v>
      </c>
      <c r="F99" s="77">
        <f>F94+F92+F90+F88+F87+F85+F84+F80+F93+F96+F86+F95+F97+F98+F83+F81+F82</f>
        <v>907571.8</v>
      </c>
      <c r="G99" s="77">
        <f>G94+G92+G90+G88+G87+G85+G84+G80+G93+G96+G86+G95+G97+G98+G83+G81+G82</f>
        <v>8254.7</v>
      </c>
      <c r="H99" s="77">
        <f>H94+H92+H90+H88+H87+H85+H84+H80+H93</f>
        <v>158423.5</v>
      </c>
      <c r="I99" s="77">
        <f>I94+I92+I90+I88+I87+I85+I84+I80+I93</f>
        <v>54953.9</v>
      </c>
      <c r="J99" s="77">
        <f>J94+J92+J90+J88+J87+J85+J84+J80+J93</f>
        <v>0</v>
      </c>
      <c r="K99" s="78">
        <f>C99+H99</f>
        <v>1315348.2000000002</v>
      </c>
      <c r="L99" s="28">
        <f>D99+E99+F99+G99</f>
        <v>1156924.7</v>
      </c>
      <c r="M99" s="29"/>
    </row>
    <row r="100" spans="2:11" ht="12.75">
      <c r="B100" s="53"/>
      <c r="C100" s="32"/>
      <c r="D100" s="32"/>
      <c r="E100" s="32"/>
      <c r="F100" s="32"/>
      <c r="G100" s="32"/>
      <c r="H100" s="32"/>
      <c r="I100" s="32"/>
      <c r="J100" s="32"/>
      <c r="K100" s="32"/>
    </row>
    <row r="101" spans="2:11" ht="12.75" hidden="1">
      <c r="B101" s="53"/>
      <c r="C101" s="79"/>
      <c r="D101" s="79"/>
      <c r="E101" s="79"/>
      <c r="F101" s="79"/>
      <c r="G101" s="79"/>
      <c r="H101" s="79"/>
      <c r="I101" s="79"/>
      <c r="J101" s="79"/>
      <c r="K101" s="79"/>
    </row>
    <row r="102" spans="2:11" ht="12.75">
      <c r="B102" s="53"/>
      <c r="C102" s="79"/>
      <c r="D102" s="79"/>
      <c r="E102" s="79"/>
      <c r="F102" s="79"/>
      <c r="G102" s="79"/>
      <c r="H102" s="79"/>
      <c r="I102" s="79"/>
      <c r="J102" s="79"/>
      <c r="K102" s="79"/>
    </row>
    <row r="103" spans="2:11" ht="12.75">
      <c r="B103" s="53"/>
      <c r="C103" s="32"/>
      <c r="D103" s="32"/>
      <c r="E103" s="32"/>
      <c r="F103" s="32"/>
      <c r="G103" s="32"/>
      <c r="H103" s="32"/>
      <c r="I103" s="32"/>
      <c r="J103" s="32"/>
      <c r="K103" s="32">
        <f>K99-'№1'!F75</f>
        <v>60655.10000000009</v>
      </c>
    </row>
    <row r="104" spans="2:9" ht="12.75">
      <c r="B104" s="53"/>
      <c r="C104" s="32"/>
      <c r="H104" s="32"/>
      <c r="I104" s="32"/>
    </row>
    <row r="105" spans="2:11" ht="12.75">
      <c r="B105" s="53"/>
      <c r="C105" s="32"/>
      <c r="D105" s="32"/>
      <c r="E105" s="32"/>
      <c r="F105" s="32"/>
      <c r="G105" s="32"/>
      <c r="H105" s="32"/>
      <c r="I105" s="32"/>
      <c r="K105" s="32"/>
    </row>
    <row r="106" spans="2:11" ht="12.75">
      <c r="B106" s="53"/>
      <c r="C106" s="32"/>
      <c r="D106" s="32"/>
      <c r="E106" s="32"/>
      <c r="F106" s="32"/>
      <c r="G106" s="32"/>
      <c r="H106" s="32"/>
      <c r="K106" s="32"/>
    </row>
    <row r="107" spans="2:3" ht="12.75">
      <c r="B107" s="53"/>
      <c r="C107" s="32"/>
    </row>
    <row r="108" ht="12.75">
      <c r="B108" s="53"/>
    </row>
    <row r="109" ht="12.75">
      <c r="B109" s="53"/>
    </row>
    <row r="110" ht="12.75">
      <c r="B110" s="53"/>
    </row>
    <row r="111" ht="12.75">
      <c r="B111" s="53"/>
    </row>
    <row r="112" ht="12.75">
      <c r="B112" s="53"/>
    </row>
    <row r="113" ht="12.75">
      <c r="B113" s="53"/>
    </row>
    <row r="114" ht="12.75">
      <c r="B114" s="53"/>
    </row>
    <row r="115" ht="12.75">
      <c r="B115" s="53"/>
    </row>
    <row r="116" ht="12.75">
      <c r="B116" s="53"/>
    </row>
    <row r="117" ht="12.75">
      <c r="B117" s="53"/>
    </row>
    <row r="118" ht="12.75">
      <c r="B118" s="53"/>
    </row>
    <row r="119" ht="12.75">
      <c r="B119" s="53"/>
    </row>
    <row r="120" ht="12.75">
      <c r="B120" s="53"/>
    </row>
    <row r="121" ht="12.75">
      <c r="B121" s="53"/>
    </row>
    <row r="122" ht="12.75">
      <c r="B122" s="53"/>
    </row>
    <row r="123" ht="12.75">
      <c r="B123" s="53"/>
    </row>
    <row r="124" ht="12.75">
      <c r="B124" s="53"/>
    </row>
    <row r="125" ht="12.75">
      <c r="B125" s="53"/>
    </row>
    <row r="126" ht="12.75">
      <c r="B126" s="53"/>
    </row>
    <row r="127" ht="12.75">
      <c r="B127" s="53"/>
    </row>
    <row r="128" ht="12.75">
      <c r="B128" s="53"/>
    </row>
    <row r="129" ht="12.75">
      <c r="B129" s="53"/>
    </row>
    <row r="130" ht="12.75">
      <c r="B130" s="53"/>
    </row>
    <row r="131" ht="12.75">
      <c r="B131" s="53"/>
    </row>
    <row r="132" ht="12.75">
      <c r="B132" s="53"/>
    </row>
    <row r="133" ht="12.75">
      <c r="B133" s="53"/>
    </row>
    <row r="134" ht="12.75">
      <c r="B134" s="53"/>
    </row>
    <row r="135" ht="12.75">
      <c r="B135" s="53"/>
    </row>
    <row r="136" ht="12.75">
      <c r="B136" s="53"/>
    </row>
    <row r="137" ht="12.75">
      <c r="B137" s="53"/>
    </row>
    <row r="138" ht="12.75">
      <c r="B138" s="53"/>
    </row>
    <row r="139" ht="12.75">
      <c r="B139" s="53"/>
    </row>
    <row r="140" ht="12.75">
      <c r="B140" s="53"/>
    </row>
    <row r="141" ht="12.75">
      <c r="B141" s="53"/>
    </row>
    <row r="142" ht="12.75">
      <c r="B142" s="53"/>
    </row>
    <row r="143" ht="12.75">
      <c r="B143" s="53"/>
    </row>
    <row r="144" ht="12.75">
      <c r="B144" s="53"/>
    </row>
    <row r="145" ht="12.75">
      <c r="B145" s="53"/>
    </row>
    <row r="146" ht="12.75">
      <c r="B146" s="53"/>
    </row>
    <row r="147" ht="12.75">
      <c r="B147" s="53"/>
    </row>
    <row r="148" ht="12.75">
      <c r="B148" s="53"/>
    </row>
    <row r="149" ht="12.75">
      <c r="B149" s="53"/>
    </row>
    <row r="150" ht="12.75">
      <c r="B150" s="53"/>
    </row>
    <row r="151" ht="12.75">
      <c r="B151" s="53"/>
    </row>
    <row r="152" ht="12.75">
      <c r="B152" s="53"/>
    </row>
    <row r="153" ht="12.75">
      <c r="B153" s="53"/>
    </row>
    <row r="154" ht="12.75">
      <c r="B154" s="53"/>
    </row>
    <row r="155" ht="12.75">
      <c r="B155" s="53"/>
    </row>
    <row r="156" ht="12.75">
      <c r="B156" s="53"/>
    </row>
    <row r="157" ht="12.75">
      <c r="B157" s="53"/>
    </row>
    <row r="158" ht="12.75">
      <c r="B158" s="53"/>
    </row>
    <row r="159" ht="12.75">
      <c r="B159" s="53"/>
    </row>
    <row r="160" ht="12.75">
      <c r="B160" s="53"/>
    </row>
    <row r="161" ht="12.75">
      <c r="B161" s="53"/>
    </row>
    <row r="162" ht="12.75">
      <c r="B162" s="53"/>
    </row>
    <row r="163" ht="12.75">
      <c r="B163" s="53"/>
    </row>
    <row r="164" ht="12.75">
      <c r="B164" s="53"/>
    </row>
    <row r="165" ht="12.75">
      <c r="B165" s="53"/>
    </row>
    <row r="166" ht="12.75">
      <c r="B166" s="53"/>
    </row>
    <row r="167" ht="12.75">
      <c r="B167" s="53"/>
    </row>
    <row r="168" ht="12.75">
      <c r="B168" s="53"/>
    </row>
    <row r="169" ht="12.75">
      <c r="B169" s="53"/>
    </row>
    <row r="170" ht="12.75">
      <c r="B170" s="53"/>
    </row>
    <row r="171" ht="12.75">
      <c r="B171" s="53"/>
    </row>
    <row r="172" ht="12.75">
      <c r="B172" s="53"/>
    </row>
    <row r="173" ht="12.75">
      <c r="B173" s="53"/>
    </row>
    <row r="174" ht="12.75">
      <c r="B174" s="53"/>
    </row>
    <row r="175" ht="12.75">
      <c r="B175" s="53"/>
    </row>
    <row r="176" ht="12.75">
      <c r="B176" s="53"/>
    </row>
    <row r="177" ht="12.75">
      <c r="B177" s="53"/>
    </row>
    <row r="178" ht="12.75">
      <c r="B178" s="53"/>
    </row>
    <row r="179" ht="12.75">
      <c r="B179" s="53"/>
    </row>
    <row r="180" ht="12.75">
      <c r="B180" s="53"/>
    </row>
    <row r="181" ht="12.75">
      <c r="B181" s="53"/>
    </row>
    <row r="182" ht="12.75">
      <c r="B182" s="53"/>
    </row>
    <row r="183" ht="12.75">
      <c r="B183" s="53"/>
    </row>
    <row r="184" ht="12.75">
      <c r="B184" s="53"/>
    </row>
    <row r="185" ht="12.75">
      <c r="B185" s="53"/>
    </row>
    <row r="186" ht="12.75">
      <c r="B186" s="53"/>
    </row>
    <row r="187" ht="12.75">
      <c r="B187" s="53"/>
    </row>
    <row r="188" ht="12.75">
      <c r="B188" s="53"/>
    </row>
    <row r="189" ht="12.75">
      <c r="B189" s="53"/>
    </row>
    <row r="190" ht="12.75">
      <c r="B190" s="53"/>
    </row>
    <row r="191" ht="12.75">
      <c r="B191" s="53"/>
    </row>
    <row r="192" ht="12.75">
      <c r="B192" s="53"/>
    </row>
    <row r="193" ht="12.75">
      <c r="B193" s="53"/>
    </row>
    <row r="194" ht="12.75">
      <c r="B194" s="53"/>
    </row>
    <row r="195" ht="12.75">
      <c r="B195" s="53"/>
    </row>
    <row r="196" ht="12.75">
      <c r="B196" s="53"/>
    </row>
    <row r="197" ht="12.75">
      <c r="B197" s="53"/>
    </row>
    <row r="198" ht="12.75">
      <c r="B198" s="53"/>
    </row>
    <row r="199" ht="12.75">
      <c r="B199" s="53"/>
    </row>
    <row r="200" ht="12.75">
      <c r="B200" s="53"/>
    </row>
    <row r="201" ht="12.75">
      <c r="B201" s="53"/>
    </row>
    <row r="202" ht="12.75">
      <c r="B202" s="53"/>
    </row>
    <row r="203" ht="12.75">
      <c r="B203" s="53"/>
    </row>
    <row r="204" ht="12.75">
      <c r="B204" s="53"/>
    </row>
    <row r="205" ht="12.75">
      <c r="B205" s="53"/>
    </row>
    <row r="206" ht="12.75">
      <c r="B206" s="53"/>
    </row>
    <row r="207" ht="12.75">
      <c r="B207" s="53"/>
    </row>
    <row r="208" ht="12.75">
      <c r="B208" s="53"/>
    </row>
    <row r="209" ht="12.75">
      <c r="B209" s="53"/>
    </row>
    <row r="210" ht="12.75">
      <c r="B210" s="53"/>
    </row>
    <row r="211" ht="12.75">
      <c r="B211" s="53"/>
    </row>
    <row r="212" ht="12.75">
      <c r="B212" s="53"/>
    </row>
    <row r="213" ht="12.75">
      <c r="B213" s="53"/>
    </row>
    <row r="214" ht="12.75">
      <c r="B214" s="53"/>
    </row>
    <row r="215" ht="12.75">
      <c r="B215" s="53"/>
    </row>
    <row r="216" ht="12.75">
      <c r="B216" s="53"/>
    </row>
    <row r="217" ht="12.75">
      <c r="B217" s="53"/>
    </row>
    <row r="218" ht="12.75">
      <c r="B218" s="53"/>
    </row>
    <row r="219" ht="12.75">
      <c r="B219" s="53"/>
    </row>
    <row r="220" ht="12.75">
      <c r="B220" s="53"/>
    </row>
    <row r="221" ht="12.75">
      <c r="B221" s="53"/>
    </row>
    <row r="222" ht="12.75">
      <c r="B222" s="53"/>
    </row>
    <row r="223" ht="12.75">
      <c r="B223" s="53"/>
    </row>
    <row r="224" ht="12.75">
      <c r="B224" s="53"/>
    </row>
    <row r="225" ht="12.75">
      <c r="B225" s="53"/>
    </row>
    <row r="226" ht="12.75">
      <c r="B226" s="53"/>
    </row>
    <row r="227" ht="12.75">
      <c r="B227" s="53"/>
    </row>
    <row r="228" ht="12.75">
      <c r="B228" s="53"/>
    </row>
    <row r="229" ht="12.75">
      <c r="B229" s="53"/>
    </row>
    <row r="230" ht="12.75">
      <c r="B230" s="53"/>
    </row>
    <row r="231" ht="12.75">
      <c r="B231" s="53"/>
    </row>
    <row r="232" ht="12.75">
      <c r="B232" s="53"/>
    </row>
    <row r="233" ht="12.75">
      <c r="B233" s="53"/>
    </row>
    <row r="234" ht="12.75">
      <c r="B234" s="53"/>
    </row>
    <row r="235" ht="12.75">
      <c r="B235" s="53"/>
    </row>
    <row r="236" ht="12.75">
      <c r="B236" s="53"/>
    </row>
    <row r="237" ht="12.75">
      <c r="B237" s="53"/>
    </row>
    <row r="238" ht="12.75">
      <c r="B238" s="53"/>
    </row>
    <row r="239" ht="12.75">
      <c r="B239" s="53"/>
    </row>
    <row r="240" ht="12.75">
      <c r="B240" s="53"/>
    </row>
    <row r="241" ht="12.75">
      <c r="B241" s="53"/>
    </row>
    <row r="242" ht="12.75">
      <c r="B242" s="53"/>
    </row>
    <row r="243" ht="12.75">
      <c r="B243" s="53"/>
    </row>
    <row r="244" ht="12.75">
      <c r="B244" s="53"/>
    </row>
    <row r="245" ht="12.75">
      <c r="B245" s="53"/>
    </row>
    <row r="246" ht="12.75">
      <c r="B246" s="53"/>
    </row>
    <row r="247" ht="12.75">
      <c r="B247" s="53"/>
    </row>
    <row r="248" ht="12.75">
      <c r="B248" s="53"/>
    </row>
    <row r="249" ht="12.75">
      <c r="B249" s="53"/>
    </row>
    <row r="250" ht="12.75">
      <c r="B250" s="53"/>
    </row>
    <row r="251" ht="12.75">
      <c r="B251" s="53"/>
    </row>
    <row r="252" ht="12.75">
      <c r="B252" s="53"/>
    </row>
    <row r="253" ht="12.75">
      <c r="B253" s="53"/>
    </row>
    <row r="254" ht="12.75">
      <c r="B254" s="53"/>
    </row>
    <row r="255" ht="12.75">
      <c r="B255" s="53"/>
    </row>
    <row r="256" ht="12.75">
      <c r="B256" s="53"/>
    </row>
    <row r="257" ht="12.75">
      <c r="B257" s="53"/>
    </row>
    <row r="258" ht="12.75">
      <c r="B258" s="53"/>
    </row>
    <row r="259" ht="12.75">
      <c r="B259" s="53"/>
    </row>
    <row r="260" ht="12.75">
      <c r="B260" s="53"/>
    </row>
    <row r="261" ht="12.75">
      <c r="B261" s="53"/>
    </row>
    <row r="262" ht="12.75">
      <c r="B262" s="53"/>
    </row>
    <row r="263" ht="12.75">
      <c r="B263" s="53"/>
    </row>
    <row r="264" ht="12.75">
      <c r="B264" s="53"/>
    </row>
    <row r="265" ht="12.75">
      <c r="B265" s="53"/>
    </row>
    <row r="266" ht="12.75">
      <c r="B266" s="53"/>
    </row>
    <row r="267" ht="12.75">
      <c r="B267" s="53"/>
    </row>
    <row r="268" ht="12.75">
      <c r="B268" s="53"/>
    </row>
    <row r="269" ht="12.75">
      <c r="B269" s="53"/>
    </row>
    <row r="270" ht="12.75">
      <c r="B270" s="53"/>
    </row>
    <row r="271" ht="12.75">
      <c r="B271" s="53"/>
    </row>
    <row r="272" ht="12.75">
      <c r="B272" s="53"/>
    </row>
    <row r="273" ht="12.75">
      <c r="B273" s="53"/>
    </row>
    <row r="274" ht="12.75">
      <c r="B274" s="53"/>
    </row>
    <row r="275" ht="12.75">
      <c r="B275" s="53"/>
    </row>
    <row r="276" ht="12.75">
      <c r="B276" s="53"/>
    </row>
    <row r="277" ht="12.75">
      <c r="B277" s="53"/>
    </row>
    <row r="278" ht="12.75">
      <c r="B278" s="53"/>
    </row>
    <row r="279" ht="12.75">
      <c r="B279" s="53"/>
    </row>
    <row r="280" ht="12.75">
      <c r="B280" s="53"/>
    </row>
    <row r="281" ht="12.75">
      <c r="B281" s="53"/>
    </row>
    <row r="282" ht="12.75">
      <c r="B282" s="53"/>
    </row>
    <row r="283" ht="12.75">
      <c r="B283" s="53"/>
    </row>
    <row r="284" ht="12.75">
      <c r="B284" s="53"/>
    </row>
    <row r="285" ht="12.75">
      <c r="B285" s="53"/>
    </row>
    <row r="286" ht="12.75">
      <c r="B286" s="53"/>
    </row>
    <row r="287" ht="12.75">
      <c r="B287" s="53"/>
    </row>
    <row r="288" ht="12.75">
      <c r="B288" s="53"/>
    </row>
    <row r="289" ht="12.75">
      <c r="B289" s="53"/>
    </row>
    <row r="290" ht="12.75">
      <c r="B290" s="53"/>
    </row>
    <row r="291" ht="12.75">
      <c r="B291" s="53"/>
    </row>
    <row r="292" ht="12.75">
      <c r="B292" s="53"/>
    </row>
    <row r="293" ht="12.75">
      <c r="B293" s="53"/>
    </row>
    <row r="294" ht="12.75">
      <c r="B294" s="53"/>
    </row>
    <row r="295" ht="12.75">
      <c r="B295" s="53"/>
    </row>
    <row r="296" ht="12.75">
      <c r="B296" s="53"/>
    </row>
    <row r="297" ht="12.75">
      <c r="B297" s="53"/>
    </row>
    <row r="298" ht="12.75">
      <c r="B298" s="53"/>
    </row>
    <row r="299" ht="12.75">
      <c r="B299" s="53"/>
    </row>
    <row r="300" ht="12.75">
      <c r="B300" s="53"/>
    </row>
    <row r="301" ht="12.75">
      <c r="B301" s="53"/>
    </row>
    <row r="302" ht="12.75">
      <c r="B302" s="53"/>
    </row>
    <row r="303" ht="12.75">
      <c r="B303" s="53"/>
    </row>
    <row r="304" ht="12.75">
      <c r="B304" s="53"/>
    </row>
    <row r="305" ht="12.75">
      <c r="B305" s="53"/>
    </row>
    <row r="306" ht="12.75">
      <c r="B306" s="53"/>
    </row>
    <row r="307" ht="12.75">
      <c r="B307" s="53"/>
    </row>
    <row r="308" ht="12.75">
      <c r="B308" s="53"/>
    </row>
    <row r="309" ht="12.75">
      <c r="B309" s="53"/>
    </row>
    <row r="310" ht="12.75">
      <c r="B310" s="53"/>
    </row>
    <row r="311" ht="12.75">
      <c r="B311" s="53"/>
    </row>
    <row r="312" ht="12.75">
      <c r="B312" s="53"/>
    </row>
    <row r="313" ht="12.75">
      <c r="B313" s="53"/>
    </row>
    <row r="314" ht="12.75">
      <c r="B314" s="53"/>
    </row>
    <row r="315" ht="12.75">
      <c r="B315" s="53"/>
    </row>
    <row r="316" ht="12.75">
      <c r="B316" s="53"/>
    </row>
    <row r="317" ht="12.75">
      <c r="B317" s="53"/>
    </row>
    <row r="318" ht="12.75">
      <c r="B318" s="53"/>
    </row>
    <row r="319" ht="12.75">
      <c r="B319" s="53"/>
    </row>
    <row r="320" ht="12.75">
      <c r="B320" s="53"/>
    </row>
    <row r="321" ht="12.75">
      <c r="B321" s="53"/>
    </row>
    <row r="322" ht="12.75">
      <c r="B322" s="53"/>
    </row>
    <row r="323" ht="12.75">
      <c r="B323" s="53"/>
    </row>
    <row r="324" ht="12.75">
      <c r="B324" s="53"/>
    </row>
    <row r="325" ht="12.75">
      <c r="B325" s="53"/>
    </row>
    <row r="326" ht="12.75">
      <c r="B326" s="53"/>
    </row>
    <row r="327" ht="12.75">
      <c r="B327" s="53"/>
    </row>
    <row r="328" ht="12.75">
      <c r="B328" s="53"/>
    </row>
    <row r="329" ht="12.75">
      <c r="B329" s="53"/>
    </row>
    <row r="330" ht="12.75">
      <c r="B330" s="53"/>
    </row>
    <row r="331" ht="12.75">
      <c r="B331" s="53"/>
    </row>
    <row r="332" ht="12.75">
      <c r="B332" s="53"/>
    </row>
    <row r="333" ht="12.75">
      <c r="B333" s="53"/>
    </row>
    <row r="334" ht="12.75">
      <c r="B334" s="53"/>
    </row>
    <row r="335" ht="12.75">
      <c r="B335" s="53"/>
    </row>
    <row r="336" ht="12.75">
      <c r="B336" s="53"/>
    </row>
    <row r="337" ht="12.75">
      <c r="B337" s="53"/>
    </row>
    <row r="338" ht="12.75">
      <c r="B338" s="53"/>
    </row>
    <row r="339" ht="12.75">
      <c r="B339" s="53"/>
    </row>
    <row r="340" ht="12.75">
      <c r="B340" s="53"/>
    </row>
    <row r="341" ht="12.75">
      <c r="B341" s="53"/>
    </row>
    <row r="342" ht="12.75">
      <c r="B342" s="53"/>
    </row>
    <row r="343" ht="12.75">
      <c r="B343" s="53"/>
    </row>
    <row r="344" ht="12.75">
      <c r="B344" s="53"/>
    </row>
    <row r="345" ht="12.75">
      <c r="B345" s="53"/>
    </row>
    <row r="346" ht="12.75">
      <c r="B346" s="53"/>
    </row>
    <row r="347" ht="12.75">
      <c r="B347" s="53"/>
    </row>
    <row r="348" ht="12.75">
      <c r="B348" s="53"/>
    </row>
    <row r="349" ht="12.75">
      <c r="B349" s="53"/>
    </row>
    <row r="350" ht="12.75">
      <c r="B350" s="53"/>
    </row>
    <row r="351" ht="12.75">
      <c r="B351" s="53"/>
    </row>
    <row r="352" ht="12.75">
      <c r="B352" s="53"/>
    </row>
    <row r="353" ht="12.75">
      <c r="B353" s="53"/>
    </row>
    <row r="354" ht="12.75">
      <c r="B354" s="53"/>
    </row>
    <row r="355" ht="12.75">
      <c r="B355" s="53"/>
    </row>
    <row r="356" ht="12.75">
      <c r="B356" s="53"/>
    </row>
    <row r="357" ht="12.75">
      <c r="B357" s="53"/>
    </row>
    <row r="358" ht="12.75">
      <c r="B358" s="53"/>
    </row>
    <row r="359" ht="12.75">
      <c r="B359" s="53"/>
    </row>
    <row r="360" ht="12.75">
      <c r="B360" s="53"/>
    </row>
    <row r="361" ht="12.75">
      <c r="B361" s="53"/>
    </row>
    <row r="362" ht="12.75">
      <c r="B362" s="53"/>
    </row>
    <row r="363" ht="12.75">
      <c r="B363" s="53"/>
    </row>
    <row r="364" ht="12.75">
      <c r="B364" s="53"/>
    </row>
    <row r="365" ht="12.75">
      <c r="B365" s="53"/>
    </row>
    <row r="366" ht="12.75">
      <c r="B366" s="53"/>
    </row>
    <row r="367" ht="12.75">
      <c r="B367" s="53"/>
    </row>
    <row r="368" ht="12.75">
      <c r="B368" s="53"/>
    </row>
    <row r="369" ht="12.75">
      <c r="B369" s="53"/>
    </row>
    <row r="370" ht="12.75">
      <c r="B370" s="53"/>
    </row>
    <row r="371" ht="12.75">
      <c r="B371" s="53"/>
    </row>
    <row r="372" ht="12.75">
      <c r="B372" s="53"/>
    </row>
    <row r="373" ht="12.75">
      <c r="B373" s="53"/>
    </row>
    <row r="374" ht="12.75">
      <c r="B374" s="53"/>
    </row>
    <row r="375" ht="12.75">
      <c r="B375" s="53"/>
    </row>
    <row r="376" ht="12.75">
      <c r="B376" s="53"/>
    </row>
    <row r="377" ht="12.75">
      <c r="B377" s="53"/>
    </row>
    <row r="378" ht="12.75">
      <c r="B378" s="53"/>
    </row>
    <row r="379" ht="12.75">
      <c r="B379" s="53"/>
    </row>
    <row r="380" ht="12.75">
      <c r="B380" s="53"/>
    </row>
    <row r="381" ht="12.75">
      <c r="B381" s="53"/>
    </row>
    <row r="382" ht="12.75">
      <c r="B382" s="53"/>
    </row>
    <row r="383" ht="12.75">
      <c r="B383" s="53"/>
    </row>
    <row r="384" ht="12.75">
      <c r="B384" s="53"/>
    </row>
    <row r="385" ht="12.75">
      <c r="B385" s="53"/>
    </row>
    <row r="386" ht="12.75">
      <c r="B386" s="53"/>
    </row>
    <row r="387" ht="12.75">
      <c r="B387" s="53"/>
    </row>
    <row r="388" ht="12.75">
      <c r="B388" s="53"/>
    </row>
    <row r="389" ht="12.75">
      <c r="B389" s="53"/>
    </row>
    <row r="390" ht="12.75">
      <c r="B390" s="53"/>
    </row>
    <row r="391" ht="12.75">
      <c r="B391" s="53"/>
    </row>
    <row r="392" ht="12.75">
      <c r="B392" s="53"/>
    </row>
    <row r="393" ht="12.75">
      <c r="B393" s="53"/>
    </row>
    <row r="394" ht="12.75">
      <c r="B394" s="53"/>
    </row>
    <row r="395" ht="12.75">
      <c r="B395" s="53"/>
    </row>
    <row r="396" ht="12.75">
      <c r="B396" s="53"/>
    </row>
    <row r="397" ht="12.75">
      <c r="B397" s="53"/>
    </row>
    <row r="398" ht="12.75">
      <c r="B398" s="53"/>
    </row>
    <row r="399" ht="12.75">
      <c r="B399" s="53"/>
    </row>
    <row r="400" ht="12.75">
      <c r="B400" s="53"/>
    </row>
    <row r="401" ht="12.75">
      <c r="B401" s="53"/>
    </row>
    <row r="402" ht="12.75">
      <c r="B402" s="53"/>
    </row>
    <row r="403" ht="12.75">
      <c r="B403" s="53"/>
    </row>
    <row r="404" ht="12.75">
      <c r="B404" s="53"/>
    </row>
    <row r="405" ht="12.75">
      <c r="B405" s="53"/>
    </row>
    <row r="406" ht="12.75">
      <c r="B406" s="53"/>
    </row>
    <row r="407" ht="12.75">
      <c r="B407" s="53"/>
    </row>
    <row r="408" ht="12.75">
      <c r="B408" s="53"/>
    </row>
    <row r="409" ht="12.75">
      <c r="B409" s="53"/>
    </row>
    <row r="410" ht="12.75">
      <c r="B410" s="53"/>
    </row>
    <row r="411" ht="12.75">
      <c r="B411" s="53"/>
    </row>
    <row r="412" ht="12.75">
      <c r="B412" s="53"/>
    </row>
    <row r="413" ht="12.75">
      <c r="B413" s="53"/>
    </row>
    <row r="414" ht="12.75">
      <c r="B414" s="53"/>
    </row>
    <row r="415" ht="12.75">
      <c r="B415" s="53"/>
    </row>
    <row r="416" ht="12.75">
      <c r="B416" s="53"/>
    </row>
    <row r="417" ht="12.75">
      <c r="B417" s="53"/>
    </row>
    <row r="418" ht="12.75">
      <c r="B418" s="53"/>
    </row>
    <row r="419" ht="12.75">
      <c r="B419" s="53"/>
    </row>
    <row r="420" ht="12.75">
      <c r="B420" s="53"/>
    </row>
    <row r="421" ht="12.75">
      <c r="B421" s="53"/>
    </row>
    <row r="422" ht="12.75">
      <c r="B422" s="53"/>
    </row>
    <row r="423" ht="12.75">
      <c r="B423" s="53"/>
    </row>
    <row r="424" ht="12.75">
      <c r="B424" s="53"/>
    </row>
    <row r="425" ht="12.75">
      <c r="B425" s="53"/>
    </row>
    <row r="426" ht="12.75">
      <c r="B426" s="53"/>
    </row>
    <row r="427" ht="12.75">
      <c r="B427" s="53"/>
    </row>
    <row r="428" ht="12.75">
      <c r="B428" s="53"/>
    </row>
    <row r="429" ht="12.75">
      <c r="B429" s="53"/>
    </row>
    <row r="430" ht="12.75">
      <c r="B430" s="53"/>
    </row>
    <row r="431" ht="12.75">
      <c r="B431" s="53"/>
    </row>
    <row r="432" ht="12.75">
      <c r="B432" s="53"/>
    </row>
    <row r="433" ht="12.75">
      <c r="B433" s="53"/>
    </row>
    <row r="434" ht="12.75">
      <c r="B434" s="53"/>
    </row>
    <row r="435" ht="12.75">
      <c r="B435" s="53"/>
    </row>
    <row r="436" ht="12.75">
      <c r="B436" s="53"/>
    </row>
    <row r="437" ht="12.75">
      <c r="B437" s="53"/>
    </row>
    <row r="438" ht="12.75">
      <c r="B438" s="53"/>
    </row>
    <row r="439" ht="12.75">
      <c r="B439" s="53"/>
    </row>
    <row r="440" ht="12.75">
      <c r="B440" s="53"/>
    </row>
    <row r="441" ht="12.75">
      <c r="B441" s="53"/>
    </row>
    <row r="442" ht="12.75">
      <c r="B442" s="53"/>
    </row>
    <row r="443" ht="12.75">
      <c r="B443" s="53"/>
    </row>
    <row r="444" ht="12.75">
      <c r="B444" s="53"/>
    </row>
    <row r="445" ht="12.75">
      <c r="B445" s="53"/>
    </row>
    <row r="446" ht="12.75">
      <c r="B446" s="53"/>
    </row>
    <row r="447" ht="12.75">
      <c r="B447" s="53"/>
    </row>
    <row r="448" ht="12.75">
      <c r="B448" s="53"/>
    </row>
    <row r="449" ht="12.75">
      <c r="B449" s="53"/>
    </row>
    <row r="450" ht="12.75">
      <c r="B450" s="53"/>
    </row>
    <row r="451" ht="12.75">
      <c r="B451" s="53"/>
    </row>
    <row r="452" ht="12.75">
      <c r="B452" s="53"/>
    </row>
    <row r="453" ht="12.75">
      <c r="B453" s="53"/>
    </row>
    <row r="454" ht="12.75">
      <c r="B454" s="53"/>
    </row>
    <row r="455" ht="12.75">
      <c r="B455" s="53"/>
    </row>
    <row r="456" ht="12.75">
      <c r="B456" s="53"/>
    </row>
    <row r="457" ht="12.75">
      <c r="B457" s="53"/>
    </row>
    <row r="458" ht="12.75">
      <c r="B458" s="53"/>
    </row>
    <row r="459" ht="12.75">
      <c r="B459" s="53"/>
    </row>
    <row r="460" ht="12.75">
      <c r="B460" s="53"/>
    </row>
    <row r="461" ht="12.75">
      <c r="B461" s="53"/>
    </row>
    <row r="462" ht="12.75">
      <c r="B462" s="53"/>
    </row>
    <row r="463" ht="12.75">
      <c r="B463" s="53"/>
    </row>
    <row r="464" ht="12.75">
      <c r="B464" s="53"/>
    </row>
    <row r="465" ht="12.75">
      <c r="B465" s="53"/>
    </row>
    <row r="466" ht="12.75">
      <c r="B466" s="53"/>
    </row>
    <row r="467" ht="12.75">
      <c r="B467" s="53"/>
    </row>
    <row r="468" ht="12.75">
      <c r="B468" s="53"/>
    </row>
    <row r="469" ht="12.75">
      <c r="B469" s="53"/>
    </row>
    <row r="470" ht="12.75">
      <c r="B470" s="53"/>
    </row>
    <row r="471" ht="12.75">
      <c r="B471" s="53"/>
    </row>
    <row r="472" ht="12.75">
      <c r="B472" s="53"/>
    </row>
    <row r="473" ht="12.75">
      <c r="B473" s="53"/>
    </row>
    <row r="474" ht="12.75">
      <c r="B474" s="53"/>
    </row>
    <row r="475" ht="12.75">
      <c r="B475" s="53"/>
    </row>
    <row r="476" ht="12.75">
      <c r="B476" s="53"/>
    </row>
    <row r="477" ht="12.75">
      <c r="B477" s="53"/>
    </row>
    <row r="478" ht="12.75">
      <c r="B478" s="53"/>
    </row>
    <row r="479" ht="12.75">
      <c r="B479" s="53"/>
    </row>
    <row r="480" ht="12.75">
      <c r="B480" s="53"/>
    </row>
    <row r="481" ht="12.75">
      <c r="B481" s="53"/>
    </row>
    <row r="482" ht="12.75">
      <c r="B482" s="53"/>
    </row>
    <row r="483" ht="12.75">
      <c r="B483" s="53"/>
    </row>
    <row r="484" ht="12.75">
      <c r="B484" s="53"/>
    </row>
    <row r="485" ht="12.75">
      <c r="B485" s="53"/>
    </row>
    <row r="486" ht="12.75">
      <c r="B486" s="53"/>
    </row>
    <row r="487" ht="12.75">
      <c r="B487" s="53"/>
    </row>
    <row r="488" ht="12.75">
      <c r="B488" s="53"/>
    </row>
  </sheetData>
  <mergeCells count="23">
    <mergeCell ref="D10:G10"/>
    <mergeCell ref="H10:H11"/>
    <mergeCell ref="J10:J11"/>
    <mergeCell ref="H3:K3"/>
    <mergeCell ref="A99:B99"/>
    <mergeCell ref="H1:J1"/>
    <mergeCell ref="A6:K6"/>
    <mergeCell ref="A7:K7"/>
    <mergeCell ref="A9:A11"/>
    <mergeCell ref="B9:B11"/>
    <mergeCell ref="C9:G9"/>
    <mergeCell ref="H9:J9"/>
    <mergeCell ref="K9:K11"/>
    <mergeCell ref="C10:C11"/>
    <mergeCell ref="C88:C89"/>
    <mergeCell ref="D88:D89"/>
    <mergeCell ref="E88:E89"/>
    <mergeCell ref="J88:J89"/>
    <mergeCell ref="K88:K89"/>
    <mergeCell ref="F88:F89"/>
    <mergeCell ref="G88:G89"/>
    <mergeCell ref="H88:H89"/>
    <mergeCell ref="I88:I89"/>
  </mergeCells>
  <printOptions/>
  <pageMargins left="0.5511811023622047" right="0.27" top="0.21" bottom="0.06" header="0.21" footer="0.06"/>
  <pageSetup horizontalDpi="600" verticalDpi="600" orientation="portrait" paperSize="9" scale="64" r:id="rId1"/>
  <rowBreaks count="1" manualBreakCount="1">
    <brk id="55" max="10" man="1"/>
  </rowBreaks>
</worksheet>
</file>

<file path=xl/worksheets/sheet3.xml><?xml version="1.0" encoding="utf-8"?>
<worksheet xmlns="http://schemas.openxmlformats.org/spreadsheetml/2006/main" xmlns:r="http://schemas.openxmlformats.org/officeDocument/2006/relationships">
  <dimension ref="A1:BG275"/>
  <sheetViews>
    <sheetView view="pageBreakPreview" zoomScale="75" zoomScaleNormal="75" zoomScaleSheetLayoutView="75" workbookViewId="0" topLeftCell="A97">
      <selection activeCell="B131" sqref="B131"/>
    </sheetView>
  </sheetViews>
  <sheetFormatPr defaultColWidth="9.00390625" defaultRowHeight="12.75"/>
  <cols>
    <col min="1" max="1" width="7.625" style="60" customWidth="1"/>
    <col min="2" max="2" width="54.875" style="34" customWidth="1"/>
    <col min="3" max="3" width="13.875" style="3" customWidth="1"/>
    <col min="4" max="4" width="10.375" style="3" customWidth="1"/>
    <col min="5" max="5" width="9.125" style="3" customWidth="1"/>
    <col min="6" max="6" width="11.875" style="3" customWidth="1"/>
    <col min="7" max="7" width="9.125" style="3" customWidth="1"/>
    <col min="8" max="8" width="10.00390625" style="3" customWidth="1"/>
    <col min="9" max="9" width="10.375" style="3" customWidth="1"/>
    <col min="10" max="10" width="7.00390625" style="3" hidden="1" customWidth="1"/>
    <col min="11" max="11" width="12.00390625" style="3" customWidth="1"/>
    <col min="12" max="12" width="13.125" style="35" customWidth="1"/>
    <col min="13" max="13" width="9.125" style="35" customWidth="1"/>
    <col min="14" max="14" width="9.375" style="35" bestFit="1" customWidth="1"/>
    <col min="15" max="59" width="8.875" style="35" customWidth="1"/>
    <col min="60" max="16384" width="8.875" style="3" customWidth="1"/>
  </cols>
  <sheetData>
    <row r="1" spans="6:11" ht="12.75" customHeight="1" hidden="1">
      <c r="F1" s="326"/>
      <c r="G1" s="326"/>
      <c r="H1" s="326"/>
      <c r="I1" s="326"/>
      <c r="J1" s="326"/>
      <c r="K1" s="326"/>
    </row>
    <row r="2" spans="6:11" ht="12.75" customHeight="1" hidden="1">
      <c r="F2" s="5"/>
      <c r="G2" s="5"/>
      <c r="H2" s="5"/>
      <c r="I2" s="5"/>
      <c r="J2" s="5"/>
      <c r="K2" s="5"/>
    </row>
    <row r="3" spans="6:11" ht="12.75" customHeight="1" hidden="1">
      <c r="F3" s="4" t="s">
        <v>141</v>
      </c>
      <c r="G3" s="4"/>
      <c r="H3" s="4"/>
      <c r="I3" s="4"/>
      <c r="J3" s="4"/>
      <c r="K3" s="4"/>
    </row>
    <row r="4" spans="5:11" ht="12.75">
      <c r="E4" s="36" t="s">
        <v>142</v>
      </c>
      <c r="H4" s="327" t="s">
        <v>143</v>
      </c>
      <c r="I4" s="327"/>
      <c r="J4" s="327"/>
      <c r="K4" s="327"/>
    </row>
    <row r="5" spans="8:11" ht="12.75">
      <c r="H5" s="5" t="s">
        <v>77</v>
      </c>
      <c r="I5" s="6"/>
      <c r="J5" s="6"/>
      <c r="K5" s="6"/>
    </row>
    <row r="6" spans="8:11" ht="13.5" customHeight="1">
      <c r="H6" s="316" t="s">
        <v>61</v>
      </c>
      <c r="I6" s="316"/>
      <c r="J6" s="316"/>
      <c r="K6" s="316"/>
    </row>
    <row r="7" ht="13.5" customHeight="1"/>
    <row r="8" spans="1:11" ht="15.75">
      <c r="A8" s="290" t="s">
        <v>437</v>
      </c>
      <c r="B8" s="290"/>
      <c r="C8" s="290"/>
      <c r="D8" s="290"/>
      <c r="E8" s="290"/>
      <c r="F8" s="290"/>
      <c r="G8" s="290"/>
      <c r="H8" s="290"/>
      <c r="I8" s="290"/>
      <c r="J8" s="290"/>
      <c r="K8" s="290"/>
    </row>
    <row r="9" spans="1:11" ht="15" customHeight="1">
      <c r="A9" s="290" t="s">
        <v>144</v>
      </c>
      <c r="B9" s="290"/>
      <c r="C9" s="290"/>
      <c r="D9" s="290"/>
      <c r="E9" s="290"/>
      <c r="F9" s="290"/>
      <c r="G9" s="290"/>
      <c r="H9" s="290"/>
      <c r="I9" s="290"/>
      <c r="J9" s="290"/>
      <c r="K9" s="290"/>
    </row>
    <row r="10" spans="8:11" ht="13.5" thickBot="1">
      <c r="H10" s="328" t="s">
        <v>263</v>
      </c>
      <c r="I10" s="328"/>
      <c r="J10" s="328"/>
      <c r="K10" s="328"/>
    </row>
    <row r="11" spans="1:11" ht="24.75" customHeight="1" thickBot="1">
      <c r="A11" s="291" t="s">
        <v>79</v>
      </c>
      <c r="B11" s="329" t="s">
        <v>145</v>
      </c>
      <c r="C11" s="332" t="s">
        <v>81</v>
      </c>
      <c r="D11" s="333"/>
      <c r="E11" s="333"/>
      <c r="F11" s="333"/>
      <c r="G11" s="334"/>
      <c r="H11" s="285" t="s">
        <v>82</v>
      </c>
      <c r="I11" s="286"/>
      <c r="J11" s="287"/>
      <c r="K11" s="282" t="s">
        <v>83</v>
      </c>
    </row>
    <row r="12" spans="1:11" ht="40.5" customHeight="1" thickBot="1">
      <c r="A12" s="292"/>
      <c r="B12" s="330"/>
      <c r="C12" s="324" t="s">
        <v>84</v>
      </c>
      <c r="D12" s="332" t="s">
        <v>85</v>
      </c>
      <c r="E12" s="333"/>
      <c r="F12" s="333"/>
      <c r="G12" s="334"/>
      <c r="H12" s="324" t="s">
        <v>84</v>
      </c>
      <c r="I12" s="15" t="s">
        <v>86</v>
      </c>
      <c r="J12" s="282" t="s">
        <v>87</v>
      </c>
      <c r="K12" s="335"/>
    </row>
    <row r="13" spans="1:11" ht="96" customHeight="1" thickBot="1">
      <c r="A13" s="293"/>
      <c r="B13" s="331"/>
      <c r="C13" s="325"/>
      <c r="D13" s="15" t="s">
        <v>88</v>
      </c>
      <c r="E13" s="15" t="s">
        <v>89</v>
      </c>
      <c r="F13" s="15" t="s">
        <v>90</v>
      </c>
      <c r="G13" s="15" t="s">
        <v>146</v>
      </c>
      <c r="H13" s="325"/>
      <c r="I13" s="15" t="s">
        <v>92</v>
      </c>
      <c r="J13" s="283"/>
      <c r="K13" s="283"/>
    </row>
    <row r="14" spans="1:11" ht="13.5" thickBot="1">
      <c r="A14" s="80">
        <v>1</v>
      </c>
      <c r="B14" s="81">
        <v>2</v>
      </c>
      <c r="C14" s="82">
        <v>3</v>
      </c>
      <c r="D14" s="82">
        <v>4</v>
      </c>
      <c r="E14" s="82">
        <v>5</v>
      </c>
      <c r="F14" s="82">
        <v>6</v>
      </c>
      <c r="G14" s="82">
        <v>7</v>
      </c>
      <c r="H14" s="82">
        <v>8</v>
      </c>
      <c r="I14" s="82">
        <v>9</v>
      </c>
      <c r="J14" s="82">
        <v>10</v>
      </c>
      <c r="K14" s="82">
        <v>11</v>
      </c>
    </row>
    <row r="15" spans="1:59" s="38" customFormat="1" ht="12.75">
      <c r="A15" s="83"/>
      <c r="B15" s="84" t="s">
        <v>147</v>
      </c>
      <c r="C15" s="85">
        <f>C16+C18+C19+C23+C25+C28+C29+C17+C20+C21+C26+C27+C22</f>
        <v>21042.6</v>
      </c>
      <c r="D15" s="85">
        <f>D16+D18+D19+D23+D25+D28+D29+D17+D20+D21+D26+D27</f>
        <v>823.3000000000001</v>
      </c>
      <c r="E15" s="85">
        <f>E16+E18+E19+E23+E25+E28+E29+E17+E20+E21+E26+E27</f>
        <v>1080</v>
      </c>
      <c r="F15" s="85">
        <f>F16+F18+F19+F23+F25+F28+F29+F17+F20+F21+F26+F27</f>
        <v>19139.300000000003</v>
      </c>
      <c r="G15" s="85">
        <f>G16+G18+G19+G23+G25+G28+G29+G17</f>
        <v>0</v>
      </c>
      <c r="H15" s="85">
        <f>H16+H18+H19+H23+H25+H28+H29+H24+H20+H21+30000</f>
        <v>30160</v>
      </c>
      <c r="I15" s="85">
        <f>I16+I18+I19+I23+I25+I28+I29+I24+I22</f>
        <v>30160</v>
      </c>
      <c r="J15" s="85">
        <f>J16+J18+J19+J23+J25+J28+J29</f>
        <v>0</v>
      </c>
      <c r="K15" s="86">
        <f>C15+H15</f>
        <v>51202.6</v>
      </c>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row>
    <row r="16" spans="1:59" ht="12.75">
      <c r="A16" s="64" t="s">
        <v>95</v>
      </c>
      <c r="B16" s="40" t="s">
        <v>96</v>
      </c>
      <c r="C16" s="30">
        <f>D16+E16+F16</f>
        <v>7786</v>
      </c>
      <c r="D16" s="25">
        <f>708.7+112.6</f>
        <v>821.3000000000001</v>
      </c>
      <c r="E16" s="25">
        <v>1080</v>
      </c>
      <c r="F16" s="25">
        <f>5997.3-112.6</f>
        <v>5884.7</v>
      </c>
      <c r="G16" s="25"/>
      <c r="H16" s="25"/>
      <c r="I16" s="25"/>
      <c r="J16" s="25"/>
      <c r="K16" s="73">
        <f aca="true" t="shared" si="0" ref="K16:K125">C16+H16</f>
        <v>7786</v>
      </c>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row>
    <row r="17" spans="1:59" ht="25.5" customHeight="1">
      <c r="A17" s="64" t="s">
        <v>99</v>
      </c>
      <c r="B17" s="51" t="s">
        <v>100</v>
      </c>
      <c r="C17" s="30">
        <f>D17+E17+F17+G17</f>
        <v>5500</v>
      </c>
      <c r="D17" s="25"/>
      <c r="E17" s="25"/>
      <c r="F17" s="25">
        <v>5500</v>
      </c>
      <c r="G17" s="25"/>
      <c r="H17" s="25"/>
      <c r="I17" s="25"/>
      <c r="J17" s="25"/>
      <c r="K17" s="73">
        <f t="shared" si="0"/>
        <v>5500</v>
      </c>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row>
    <row r="18" spans="1:59" ht="21" customHeight="1">
      <c r="A18" s="64" t="s">
        <v>148</v>
      </c>
      <c r="B18" s="40" t="s">
        <v>348</v>
      </c>
      <c r="C18" s="30">
        <f aca="true" t="shared" si="1" ref="C18:C29">D18+E18+F18+G18</f>
        <v>36</v>
      </c>
      <c r="D18" s="25"/>
      <c r="E18" s="25"/>
      <c r="F18" s="25">
        <v>36</v>
      </c>
      <c r="G18" s="25"/>
      <c r="H18" s="25"/>
      <c r="I18" s="25"/>
      <c r="J18" s="25"/>
      <c r="K18" s="73">
        <f t="shared" si="0"/>
        <v>36</v>
      </c>
      <c r="L18" s="87"/>
      <c r="M18" s="87"/>
      <c r="N18" s="87"/>
      <c r="O18" s="87"/>
      <c r="P18" s="87"/>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row>
    <row r="19" spans="1:59" ht="15.75" customHeight="1">
      <c r="A19" s="64" t="s">
        <v>109</v>
      </c>
      <c r="B19" s="24" t="s">
        <v>110</v>
      </c>
      <c r="C19" s="30">
        <f t="shared" si="1"/>
        <v>37</v>
      </c>
      <c r="D19" s="25"/>
      <c r="E19" s="25"/>
      <c r="F19" s="25">
        <v>37</v>
      </c>
      <c r="G19" s="25"/>
      <c r="H19" s="25"/>
      <c r="I19" s="25"/>
      <c r="J19" s="25"/>
      <c r="K19" s="73">
        <f t="shared" si="0"/>
        <v>37</v>
      </c>
      <c r="L19" s="87"/>
      <c r="M19" s="88"/>
      <c r="N19" s="88"/>
      <c r="O19" s="88"/>
      <c r="P19" s="89"/>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row>
    <row r="20" spans="1:59" ht="12.75" hidden="1">
      <c r="A20" s="64" t="s">
        <v>349</v>
      </c>
      <c r="B20" s="24" t="s">
        <v>350</v>
      </c>
      <c r="C20" s="30">
        <f t="shared" si="1"/>
        <v>0</v>
      </c>
      <c r="D20" s="25"/>
      <c r="E20" s="25"/>
      <c r="F20" s="25"/>
      <c r="G20" s="25"/>
      <c r="H20" s="25"/>
      <c r="I20" s="25"/>
      <c r="J20" s="25"/>
      <c r="K20" s="73">
        <f t="shared" si="0"/>
        <v>0</v>
      </c>
      <c r="L20" s="87"/>
      <c r="M20" s="88"/>
      <c r="N20" s="88"/>
      <c r="O20" s="88"/>
      <c r="P20" s="89"/>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row>
    <row r="21" spans="1:59" ht="12.75">
      <c r="A21" s="64" t="s">
        <v>351</v>
      </c>
      <c r="B21" s="24" t="s">
        <v>149</v>
      </c>
      <c r="C21" s="30">
        <f t="shared" si="1"/>
        <v>5000</v>
      </c>
      <c r="D21" s="25"/>
      <c r="E21" s="25"/>
      <c r="F21" s="25">
        <v>5000</v>
      </c>
      <c r="G21" s="25"/>
      <c r="H21" s="25"/>
      <c r="I21" s="25"/>
      <c r="J21" s="25"/>
      <c r="K21" s="73">
        <f t="shared" si="0"/>
        <v>5000</v>
      </c>
      <c r="L21" s="87"/>
      <c r="M21" s="88"/>
      <c r="N21" s="88"/>
      <c r="O21" s="88"/>
      <c r="P21" s="89"/>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row>
    <row r="22" spans="1:59" ht="12.75">
      <c r="A22" s="64" t="s">
        <v>367</v>
      </c>
      <c r="B22" s="24" t="s">
        <v>22</v>
      </c>
      <c r="C22" s="30">
        <f t="shared" si="1"/>
        <v>0</v>
      </c>
      <c r="D22" s="25"/>
      <c r="E22" s="25"/>
      <c r="F22" s="25"/>
      <c r="G22" s="25"/>
      <c r="H22" s="25">
        <v>30000</v>
      </c>
      <c r="I22" s="25">
        <f>H22</f>
        <v>30000</v>
      </c>
      <c r="J22" s="25"/>
      <c r="K22" s="73">
        <f t="shared" si="0"/>
        <v>30000</v>
      </c>
      <c r="L22" s="87"/>
      <c r="M22" s="88"/>
      <c r="N22" s="88"/>
      <c r="O22" s="88"/>
      <c r="P22" s="89"/>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row>
    <row r="23" spans="1:59" ht="25.5">
      <c r="A23" s="64">
        <v>180109</v>
      </c>
      <c r="B23" s="24" t="s">
        <v>129</v>
      </c>
      <c r="C23" s="30">
        <f t="shared" si="1"/>
        <v>2400</v>
      </c>
      <c r="D23" s="25"/>
      <c r="E23" s="25"/>
      <c r="F23" s="25">
        <v>2400</v>
      </c>
      <c r="G23" s="25"/>
      <c r="H23" s="25"/>
      <c r="I23" s="25"/>
      <c r="J23" s="25"/>
      <c r="K23" s="73">
        <f t="shared" si="0"/>
        <v>2400</v>
      </c>
      <c r="L23" s="87"/>
      <c r="M23" s="89"/>
      <c r="N23" s="89"/>
      <c r="O23" s="89"/>
      <c r="P23" s="89"/>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row>
    <row r="24" spans="1:59" ht="36" customHeight="1">
      <c r="A24" s="64" t="s">
        <v>314</v>
      </c>
      <c r="B24" s="20" t="s">
        <v>315</v>
      </c>
      <c r="C24" s="30"/>
      <c r="D24" s="25"/>
      <c r="E24" s="25"/>
      <c r="F24" s="25"/>
      <c r="G24" s="25"/>
      <c r="H24" s="25">
        <f>60+100</f>
        <v>160</v>
      </c>
      <c r="I24" s="25">
        <f>H24</f>
        <v>160</v>
      </c>
      <c r="J24" s="25"/>
      <c r="K24" s="73">
        <f t="shared" si="0"/>
        <v>160</v>
      </c>
      <c r="L24" s="87"/>
      <c r="M24" s="89"/>
      <c r="N24" s="89"/>
      <c r="O24" s="89"/>
      <c r="P24" s="89"/>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row>
    <row r="25" spans="1:59" ht="13.5" customHeight="1" hidden="1">
      <c r="A25" s="70">
        <v>150101</v>
      </c>
      <c r="B25" s="20" t="s">
        <v>126</v>
      </c>
      <c r="C25" s="30">
        <f t="shared" si="1"/>
        <v>0</v>
      </c>
      <c r="D25" s="25"/>
      <c r="E25" s="25"/>
      <c r="F25" s="25"/>
      <c r="G25" s="25"/>
      <c r="H25" s="25">
        <f>I25</f>
        <v>0</v>
      </c>
      <c r="I25" s="25"/>
      <c r="J25" s="25"/>
      <c r="K25" s="73">
        <f t="shared" si="0"/>
        <v>0</v>
      </c>
      <c r="L25" s="87"/>
      <c r="M25" s="88"/>
      <c r="N25" s="88"/>
      <c r="O25" s="88"/>
      <c r="P25" s="89"/>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row>
    <row r="26" spans="1:59" ht="25.5" hidden="1">
      <c r="A26" s="70" t="s">
        <v>352</v>
      </c>
      <c r="B26" s="20" t="s">
        <v>353</v>
      </c>
      <c r="C26" s="30">
        <f t="shared" si="1"/>
        <v>0</v>
      </c>
      <c r="D26" s="25"/>
      <c r="E26" s="25"/>
      <c r="F26" s="25"/>
      <c r="G26" s="25"/>
      <c r="H26" s="25"/>
      <c r="I26" s="25"/>
      <c r="J26" s="25"/>
      <c r="K26" s="73">
        <f t="shared" si="0"/>
        <v>0</v>
      </c>
      <c r="L26" s="87"/>
      <c r="M26" s="88"/>
      <c r="N26" s="88"/>
      <c r="O26" s="88"/>
      <c r="P26" s="89"/>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row>
    <row r="27" spans="1:59" ht="12.75" hidden="1">
      <c r="A27" s="70" t="s">
        <v>318</v>
      </c>
      <c r="B27" s="20" t="s">
        <v>319</v>
      </c>
      <c r="C27" s="30">
        <f t="shared" si="1"/>
        <v>0</v>
      </c>
      <c r="D27" s="25"/>
      <c r="E27" s="25"/>
      <c r="F27" s="25"/>
      <c r="G27" s="25"/>
      <c r="H27" s="25"/>
      <c r="I27" s="25"/>
      <c r="J27" s="25"/>
      <c r="K27" s="73">
        <f t="shared" si="0"/>
        <v>0</v>
      </c>
      <c r="L27" s="87"/>
      <c r="M27" s="88"/>
      <c r="N27" s="88"/>
      <c r="O27" s="88"/>
      <c r="P27" s="89"/>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row>
    <row r="28" spans="1:59" ht="12.75">
      <c r="A28" s="64">
        <v>250404</v>
      </c>
      <c r="B28" s="40" t="s">
        <v>149</v>
      </c>
      <c r="C28" s="30">
        <f t="shared" si="1"/>
        <v>279</v>
      </c>
      <c r="D28" s="25"/>
      <c r="E28" s="25"/>
      <c r="F28" s="25">
        <v>279</v>
      </c>
      <c r="G28" s="25"/>
      <c r="H28" s="25"/>
      <c r="I28" s="25"/>
      <c r="J28" s="25"/>
      <c r="K28" s="73">
        <f t="shared" si="0"/>
        <v>279</v>
      </c>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row>
    <row r="29" spans="1:59" ht="15.75" customHeight="1">
      <c r="A29" s="64" t="s">
        <v>150</v>
      </c>
      <c r="B29" s="24" t="s">
        <v>136</v>
      </c>
      <c r="C29" s="30">
        <f t="shared" si="1"/>
        <v>4.6</v>
      </c>
      <c r="D29" s="25">
        <v>2</v>
      </c>
      <c r="E29" s="25"/>
      <c r="F29" s="25">
        <f>4.6-2</f>
        <v>2.5999999999999996</v>
      </c>
      <c r="G29" s="25"/>
      <c r="H29" s="25"/>
      <c r="I29" s="25"/>
      <c r="J29" s="25"/>
      <c r="K29" s="73">
        <f t="shared" si="0"/>
        <v>4.6</v>
      </c>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row>
    <row r="30" spans="1:12" s="21" customFormat="1" ht="14.25" customHeight="1">
      <c r="A30" s="62"/>
      <c r="B30" s="54" t="s">
        <v>151</v>
      </c>
      <c r="C30" s="45">
        <f>C31+C34</f>
        <v>115484.29999999999</v>
      </c>
      <c r="D30" s="45">
        <f aca="true" t="shared" si="2" ref="D30:I30">D31+D34</f>
        <v>42487.4</v>
      </c>
      <c r="E30" s="45">
        <f t="shared" si="2"/>
        <v>8796.300000000001</v>
      </c>
      <c r="F30" s="45">
        <f>F31+F34</f>
        <v>64200.6</v>
      </c>
      <c r="G30" s="45">
        <f t="shared" si="2"/>
        <v>0</v>
      </c>
      <c r="H30" s="45">
        <f t="shared" si="2"/>
        <v>1173.8</v>
      </c>
      <c r="I30" s="45">
        <f t="shared" si="2"/>
        <v>0</v>
      </c>
      <c r="J30" s="45"/>
      <c r="K30" s="90">
        <f t="shared" si="0"/>
        <v>116658.09999999999</v>
      </c>
      <c r="L30" s="23"/>
    </row>
    <row r="31" spans="1:59" ht="30.75" customHeight="1">
      <c r="A31" s="64" t="s">
        <v>101</v>
      </c>
      <c r="B31" s="24" t="s">
        <v>354</v>
      </c>
      <c r="C31" s="30">
        <f>D31+E31+F31+G31</f>
        <v>115042.9</v>
      </c>
      <c r="D31" s="30">
        <v>42235.1</v>
      </c>
      <c r="E31" s="30">
        <v>8791.1</v>
      </c>
      <c r="F31" s="30">
        <f>43411.7+20605</f>
        <v>64016.7</v>
      </c>
      <c r="G31" s="30"/>
      <c r="H31" s="25">
        <v>1173.8</v>
      </c>
      <c r="I31" s="25"/>
      <c r="J31" s="25"/>
      <c r="K31" s="73">
        <f t="shared" si="0"/>
        <v>116216.7</v>
      </c>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row>
    <row r="32" spans="1:59" ht="18.75" customHeight="1">
      <c r="A32" s="64"/>
      <c r="B32" s="40" t="s">
        <v>355</v>
      </c>
      <c r="C32" s="30">
        <f>D32+E32+F32+G32</f>
        <v>185.2</v>
      </c>
      <c r="D32" s="25"/>
      <c r="E32" s="25"/>
      <c r="F32" s="25">
        <v>185.2</v>
      </c>
      <c r="G32" s="25"/>
      <c r="H32" s="25"/>
      <c r="I32" s="25"/>
      <c r="J32" s="25"/>
      <c r="K32" s="73">
        <f>C32+H32</f>
        <v>185.2</v>
      </c>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row>
    <row r="33" spans="1:59" ht="51" customHeight="1">
      <c r="A33" s="64"/>
      <c r="B33" s="71" t="s">
        <v>356</v>
      </c>
      <c r="C33" s="30">
        <f>D33+E33+F33+G33</f>
        <v>633.4</v>
      </c>
      <c r="D33" s="25">
        <v>267.2</v>
      </c>
      <c r="E33" s="25">
        <v>55.5</v>
      </c>
      <c r="F33" s="25">
        <v>310.7</v>
      </c>
      <c r="G33" s="25"/>
      <c r="H33" s="25">
        <v>197</v>
      </c>
      <c r="I33" s="25"/>
      <c r="J33" s="25"/>
      <c r="K33" s="73">
        <f>C33+H33</f>
        <v>830.4</v>
      </c>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row>
    <row r="34" spans="1:59" ht="25.5" customHeight="1">
      <c r="A34" s="64">
        <v>130000</v>
      </c>
      <c r="B34" s="40" t="s">
        <v>152</v>
      </c>
      <c r="C34" s="30">
        <f>D34+E34+F34</f>
        <v>441.4</v>
      </c>
      <c r="D34" s="25">
        <v>252.3</v>
      </c>
      <c r="E34" s="25">
        <v>5.2</v>
      </c>
      <c r="F34" s="25">
        <v>183.9</v>
      </c>
      <c r="G34" s="25"/>
      <c r="H34" s="25"/>
      <c r="I34" s="25"/>
      <c r="J34" s="25"/>
      <c r="K34" s="73">
        <f t="shared" si="0"/>
        <v>441.4</v>
      </c>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row>
    <row r="35" spans="1:59" s="21" customFormat="1" ht="12.75">
      <c r="A35" s="62"/>
      <c r="B35" s="55" t="s">
        <v>153</v>
      </c>
      <c r="C35" s="45">
        <f>C36+C39+C40+C41</f>
        <v>294450.6</v>
      </c>
      <c r="D35" s="45">
        <f>D36+D39+D40+D41</f>
        <v>123643.90000000001</v>
      </c>
      <c r="E35" s="45">
        <f>E36+E39+E40+E41</f>
        <v>21599.699999999997</v>
      </c>
      <c r="F35" s="45">
        <f>F36+F39+F40+F41+F37+F42</f>
        <v>140952.3</v>
      </c>
      <c r="G35" s="45">
        <f>G36+G39+G40+G41</f>
        <v>8254.7</v>
      </c>
      <c r="H35" s="45">
        <f>H36+H39+H40+H41+H42</f>
        <v>12782.7</v>
      </c>
      <c r="I35" s="45">
        <f>I36+I39+I40+I41+I42</f>
        <v>0</v>
      </c>
      <c r="J35" s="45">
        <f>J36+J38+J39+J40</f>
        <v>0</v>
      </c>
      <c r="K35" s="90">
        <f>C35+H35</f>
        <v>307233.3</v>
      </c>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row>
    <row r="36" spans="1:59" ht="40.5" customHeight="1">
      <c r="A36" s="64" t="s">
        <v>103</v>
      </c>
      <c r="B36" s="40" t="s">
        <v>357</v>
      </c>
      <c r="C36" s="30">
        <f>D36+E36+F36+G36</f>
        <v>284849.8</v>
      </c>
      <c r="D36" s="25">
        <v>119605</v>
      </c>
      <c r="E36" s="25">
        <f>21118.1+24.6</f>
        <v>21142.699999999997</v>
      </c>
      <c r="F36" s="25">
        <f>124032+11840-24.6</f>
        <v>135847.4</v>
      </c>
      <c r="G36" s="25">
        <f>G37</f>
        <v>8254.7</v>
      </c>
      <c r="H36" s="25">
        <v>9769.4</v>
      </c>
      <c r="I36" s="25"/>
      <c r="J36" s="25"/>
      <c r="K36" s="73">
        <f t="shared" si="0"/>
        <v>294619.2</v>
      </c>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row>
    <row r="37" spans="1:59" ht="24" customHeight="1">
      <c r="A37" s="64"/>
      <c r="B37" s="24" t="s">
        <v>358</v>
      </c>
      <c r="C37" s="30">
        <f>D37+E37+F37+G37</f>
        <v>8254.7</v>
      </c>
      <c r="D37" s="25"/>
      <c r="E37" s="25"/>
      <c r="F37" s="25"/>
      <c r="G37" s="25">
        <v>8254.7</v>
      </c>
      <c r="H37" s="25"/>
      <c r="I37" s="25"/>
      <c r="J37" s="25"/>
      <c r="K37" s="73">
        <f t="shared" si="0"/>
        <v>8254.7</v>
      </c>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row>
    <row r="38" spans="1:59" ht="12.75">
      <c r="A38" s="64"/>
      <c r="B38" s="40" t="s">
        <v>72</v>
      </c>
      <c r="C38" s="30">
        <f>D38+E38+F38</f>
        <v>9344</v>
      </c>
      <c r="D38" s="25"/>
      <c r="E38" s="25"/>
      <c r="F38" s="25">
        <f>9339+5</f>
        <v>9344</v>
      </c>
      <c r="G38" s="25"/>
      <c r="H38" s="25"/>
      <c r="I38" s="25"/>
      <c r="J38" s="25"/>
      <c r="K38" s="73">
        <f t="shared" si="0"/>
        <v>9344</v>
      </c>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row>
    <row r="39" spans="1:59" ht="38.25">
      <c r="A39" s="64" t="s">
        <v>101</v>
      </c>
      <c r="B39" s="40" t="s">
        <v>359</v>
      </c>
      <c r="C39" s="30">
        <f>D39+E39+F39</f>
        <v>9159</v>
      </c>
      <c r="D39" s="25">
        <v>3891.1</v>
      </c>
      <c r="E39" s="25">
        <v>441</v>
      </c>
      <c r="F39" s="25">
        <v>4826.9</v>
      </c>
      <c r="G39" s="25"/>
      <c r="H39" s="25">
        <v>3013.3</v>
      </c>
      <c r="I39" s="25"/>
      <c r="J39" s="25"/>
      <c r="K39" s="73">
        <f t="shared" si="0"/>
        <v>12172.3</v>
      </c>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row>
    <row r="40" spans="1:59" ht="12.75">
      <c r="A40" s="64">
        <v>110201</v>
      </c>
      <c r="B40" s="40" t="s">
        <v>154</v>
      </c>
      <c r="C40" s="30">
        <f>D40+E40+F40</f>
        <v>441.8</v>
      </c>
      <c r="D40" s="25">
        <v>147.8</v>
      </c>
      <c r="E40" s="25">
        <f>12.5+3.5</f>
        <v>16</v>
      </c>
      <c r="F40" s="25">
        <f>281.5-3.5</f>
        <v>278</v>
      </c>
      <c r="G40" s="25"/>
      <c r="H40" s="25"/>
      <c r="I40" s="25"/>
      <c r="J40" s="25"/>
      <c r="K40" s="73">
        <f t="shared" si="0"/>
        <v>441.8</v>
      </c>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row>
    <row r="41" spans="1:13" s="21" customFormat="1" ht="54.75" customHeight="1" hidden="1">
      <c r="A41" s="70" t="s">
        <v>305</v>
      </c>
      <c r="B41" s="71" t="s">
        <v>306</v>
      </c>
      <c r="C41" s="30">
        <f>D41+E41+F41</f>
        <v>0</v>
      </c>
      <c r="D41" s="30"/>
      <c r="E41" s="30"/>
      <c r="F41" s="30"/>
      <c r="G41" s="30"/>
      <c r="H41" s="30">
        <f>I41</f>
        <v>0</v>
      </c>
      <c r="I41" s="30"/>
      <c r="J41" s="30"/>
      <c r="K41" s="73">
        <f t="shared" si="0"/>
        <v>0</v>
      </c>
      <c r="L41" s="28"/>
      <c r="M41" s="29"/>
    </row>
    <row r="42" spans="1:13" s="21" customFormat="1" ht="12.75" hidden="1">
      <c r="A42" s="70" t="s">
        <v>309</v>
      </c>
      <c r="B42" s="20" t="s">
        <v>310</v>
      </c>
      <c r="C42" s="30">
        <f>D42+E42+F42</f>
        <v>0</v>
      </c>
      <c r="D42" s="30"/>
      <c r="E42" s="30"/>
      <c r="F42" s="30"/>
      <c r="G42" s="30"/>
      <c r="H42" s="30">
        <f>I42</f>
        <v>0</v>
      </c>
      <c r="I42" s="30"/>
      <c r="J42" s="30"/>
      <c r="K42" s="73">
        <f t="shared" si="0"/>
        <v>0</v>
      </c>
      <c r="L42" s="28"/>
      <c r="M42" s="29"/>
    </row>
    <row r="43" spans="1:59" s="21" customFormat="1" ht="15.75" customHeight="1">
      <c r="A43" s="62"/>
      <c r="B43" s="55" t="s">
        <v>360</v>
      </c>
      <c r="C43" s="45">
        <f>C44+C45+C46+C47+C51+C52+C53+C54+C55+C56+C49+C50</f>
        <v>59445.90000000001</v>
      </c>
      <c r="D43" s="45">
        <f aca="true" t="shared" si="3" ref="D43:I43">D44+D45+D46+D47+D51+D52+D53+D54+D55+D56+D49+D50</f>
        <v>18784.800000000003</v>
      </c>
      <c r="E43" s="45">
        <f t="shared" si="3"/>
        <v>6099.200000000001</v>
      </c>
      <c r="F43" s="45">
        <f t="shared" si="3"/>
        <v>34561.9</v>
      </c>
      <c r="G43" s="45">
        <f t="shared" si="3"/>
        <v>0</v>
      </c>
      <c r="H43" s="45">
        <f t="shared" si="3"/>
        <v>8664</v>
      </c>
      <c r="I43" s="45">
        <f t="shared" si="3"/>
        <v>0</v>
      </c>
      <c r="J43" s="45"/>
      <c r="K43" s="90">
        <f>C43+H43</f>
        <v>68109.90000000001</v>
      </c>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row>
    <row r="44" spans="1:59" ht="15" customHeight="1">
      <c r="A44" s="64" t="s">
        <v>107</v>
      </c>
      <c r="B44" s="24" t="s">
        <v>108</v>
      </c>
      <c r="C44" s="30">
        <f>D44+E44+F44</f>
        <v>2.4</v>
      </c>
      <c r="D44" s="25"/>
      <c r="E44" s="25"/>
      <c r="F44" s="25">
        <v>2.4</v>
      </c>
      <c r="G44" s="25"/>
      <c r="H44" s="25"/>
      <c r="I44" s="25"/>
      <c r="J44" s="25"/>
      <c r="K44" s="73">
        <f t="shared" si="0"/>
        <v>2.4</v>
      </c>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row>
    <row r="45" spans="1:59" ht="12.75">
      <c r="A45" s="64" t="s">
        <v>270</v>
      </c>
      <c r="B45" s="20" t="s">
        <v>271</v>
      </c>
      <c r="C45" s="30">
        <f>D45+E45+F45</f>
        <v>8889</v>
      </c>
      <c r="D45" s="25">
        <f>3419.4+49.4</f>
        <v>3468.8</v>
      </c>
      <c r="E45" s="25">
        <v>841.3</v>
      </c>
      <c r="F45" s="25">
        <f>4060.5+518.4</f>
        <v>4578.9</v>
      </c>
      <c r="G45" s="25"/>
      <c r="H45" s="25">
        <v>596</v>
      </c>
      <c r="I45" s="25"/>
      <c r="J45" s="25"/>
      <c r="K45" s="73">
        <f t="shared" si="0"/>
        <v>9485</v>
      </c>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row>
    <row r="46" spans="1:59" ht="25.5">
      <c r="A46" s="64" t="s">
        <v>272</v>
      </c>
      <c r="B46" s="20" t="s">
        <v>273</v>
      </c>
      <c r="C46" s="30">
        <f>D46+E46+F46+G46</f>
        <v>43007.8</v>
      </c>
      <c r="D46" s="25">
        <f>13780.4+497.5</f>
        <v>14277.9</v>
      </c>
      <c r="E46" s="25">
        <v>5196.6</v>
      </c>
      <c r="F46" s="25">
        <f>20547.7+2985.6</f>
        <v>23533.3</v>
      </c>
      <c r="G46" s="25"/>
      <c r="H46" s="25">
        <v>7650</v>
      </c>
      <c r="I46" s="25"/>
      <c r="J46" s="25"/>
      <c r="K46" s="73">
        <f t="shared" si="0"/>
        <v>50657.8</v>
      </c>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row>
    <row r="47" spans="1:59" ht="14.25" customHeight="1">
      <c r="A47" s="64" t="s">
        <v>109</v>
      </c>
      <c r="B47" s="24" t="s">
        <v>110</v>
      </c>
      <c r="C47" s="30">
        <f>D47+E47+F47+G47</f>
        <v>1154.5</v>
      </c>
      <c r="D47" s="25"/>
      <c r="E47" s="25"/>
      <c r="F47" s="25">
        <v>1154.5</v>
      </c>
      <c r="G47" s="25"/>
      <c r="H47" s="25">
        <v>205</v>
      </c>
      <c r="I47" s="25"/>
      <c r="J47" s="25"/>
      <c r="K47" s="73">
        <f t="shared" si="0"/>
        <v>1359.5</v>
      </c>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row>
    <row r="48" spans="1:59" ht="44.25" customHeight="1">
      <c r="A48" s="64"/>
      <c r="B48" s="91" t="s">
        <v>155</v>
      </c>
      <c r="C48" s="30">
        <v>720</v>
      </c>
      <c r="D48" s="25"/>
      <c r="E48" s="25"/>
      <c r="F48" s="25">
        <v>720</v>
      </c>
      <c r="G48" s="25"/>
      <c r="H48" s="25"/>
      <c r="I48" s="25"/>
      <c r="J48" s="25"/>
      <c r="K48" s="73">
        <f t="shared" si="0"/>
        <v>720</v>
      </c>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row>
    <row r="49" spans="1:59" ht="14.25" customHeight="1">
      <c r="A49" s="64" t="s">
        <v>268</v>
      </c>
      <c r="B49" s="20" t="s">
        <v>269</v>
      </c>
      <c r="C49" s="30">
        <f>D49+E49+F49</f>
        <v>1408.4</v>
      </c>
      <c r="D49" s="30"/>
      <c r="E49" s="30"/>
      <c r="F49" s="30">
        <v>1408.4</v>
      </c>
      <c r="G49" s="30"/>
      <c r="H49" s="30"/>
      <c r="I49" s="30"/>
      <c r="J49" s="30"/>
      <c r="K49" s="65">
        <f t="shared" si="0"/>
        <v>1408.4</v>
      </c>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row>
    <row r="50" spans="1:59" ht="15" customHeight="1">
      <c r="A50" s="64" t="s">
        <v>386</v>
      </c>
      <c r="B50" s="20" t="s">
        <v>431</v>
      </c>
      <c r="C50" s="30">
        <f>D50+E50+F50</f>
        <v>175</v>
      </c>
      <c r="D50" s="30"/>
      <c r="E50" s="30"/>
      <c r="F50" s="30">
        <v>175</v>
      </c>
      <c r="G50" s="30"/>
      <c r="H50" s="30"/>
      <c r="I50" s="30"/>
      <c r="J50" s="30"/>
      <c r="K50" s="65">
        <f t="shared" si="0"/>
        <v>175</v>
      </c>
      <c r="L50" s="8"/>
      <c r="M50" s="21"/>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row>
    <row r="51" spans="1:59" ht="25.5">
      <c r="A51" s="64" t="s">
        <v>111</v>
      </c>
      <c r="B51" s="24" t="s">
        <v>156</v>
      </c>
      <c r="C51" s="30">
        <f aca="true" t="shared" si="4" ref="C51:C71">D51+E51+F51</f>
        <v>1437.5</v>
      </c>
      <c r="D51" s="25"/>
      <c r="E51" s="25"/>
      <c r="F51" s="25">
        <v>1437.5</v>
      </c>
      <c r="G51" s="25"/>
      <c r="H51" s="25"/>
      <c r="I51" s="25"/>
      <c r="J51" s="25"/>
      <c r="K51" s="73">
        <f t="shared" si="0"/>
        <v>1437.5</v>
      </c>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row>
    <row r="52" spans="1:59" ht="53.25" customHeight="1">
      <c r="A52" s="64" t="s">
        <v>113</v>
      </c>
      <c r="B52" s="24" t="s">
        <v>288</v>
      </c>
      <c r="C52" s="30">
        <f t="shared" si="4"/>
        <v>500</v>
      </c>
      <c r="D52" s="25"/>
      <c r="E52" s="25"/>
      <c r="F52" s="25">
        <v>500</v>
      </c>
      <c r="G52" s="25"/>
      <c r="H52" s="25"/>
      <c r="I52" s="25"/>
      <c r="J52" s="25"/>
      <c r="K52" s="73">
        <f t="shared" si="0"/>
        <v>500</v>
      </c>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row>
    <row r="53" spans="1:59" ht="25.5">
      <c r="A53" s="64" t="s">
        <v>114</v>
      </c>
      <c r="B53" s="40" t="s">
        <v>115</v>
      </c>
      <c r="C53" s="30">
        <f t="shared" si="4"/>
        <v>136.8</v>
      </c>
      <c r="D53" s="25"/>
      <c r="E53" s="25"/>
      <c r="F53" s="25">
        <v>136.8</v>
      </c>
      <c r="G53" s="25"/>
      <c r="H53" s="25"/>
      <c r="I53" s="25"/>
      <c r="J53" s="25"/>
      <c r="K53" s="73">
        <f t="shared" si="0"/>
        <v>136.8</v>
      </c>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row>
    <row r="54" spans="1:59" ht="25.5">
      <c r="A54" s="64" t="s">
        <v>289</v>
      </c>
      <c r="B54" s="20" t="s">
        <v>290</v>
      </c>
      <c r="C54" s="30">
        <f t="shared" si="4"/>
        <v>14.2</v>
      </c>
      <c r="D54" s="25">
        <v>10.2</v>
      </c>
      <c r="E54" s="25"/>
      <c r="F54" s="25">
        <v>4</v>
      </c>
      <c r="G54" s="25"/>
      <c r="H54" s="25"/>
      <c r="I54" s="25"/>
      <c r="J54" s="25"/>
      <c r="K54" s="73">
        <f t="shared" si="0"/>
        <v>14.2</v>
      </c>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row>
    <row r="55" spans="1:59" ht="30" customHeight="1">
      <c r="A55" s="64" t="s">
        <v>116</v>
      </c>
      <c r="B55" s="24" t="s">
        <v>293</v>
      </c>
      <c r="C55" s="30">
        <f t="shared" si="4"/>
        <v>2720.3</v>
      </c>
      <c r="D55" s="25">
        <v>1027.9</v>
      </c>
      <c r="E55" s="25">
        <v>61.3</v>
      </c>
      <c r="F55" s="25">
        <v>1631.1</v>
      </c>
      <c r="G55" s="25"/>
      <c r="H55" s="25">
        <v>213</v>
      </c>
      <c r="I55" s="25"/>
      <c r="J55" s="25"/>
      <c r="K55" s="73">
        <f t="shared" si="0"/>
        <v>2933.3</v>
      </c>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row>
    <row r="56" spans="1:59" ht="12.75" hidden="1">
      <c r="A56" s="64" t="s">
        <v>168</v>
      </c>
      <c r="B56" s="92"/>
      <c r="C56" s="30">
        <f t="shared" si="4"/>
        <v>0</v>
      </c>
      <c r="D56" s="30"/>
      <c r="E56" s="30"/>
      <c r="F56" s="30"/>
      <c r="G56" s="30"/>
      <c r="H56" s="30"/>
      <c r="I56" s="30"/>
      <c r="J56" s="30"/>
      <c r="K56" s="73">
        <f>C56+H56</f>
        <v>0</v>
      </c>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row>
    <row r="57" spans="1:59" ht="15" customHeight="1">
      <c r="A57" s="62"/>
      <c r="B57" s="56" t="s">
        <v>157</v>
      </c>
      <c r="C57" s="45">
        <f>C58+C59</f>
        <v>6642.700000000001</v>
      </c>
      <c r="D57" s="45">
        <f>D58+D59</f>
        <v>2418.5</v>
      </c>
      <c r="E57" s="45">
        <f>E58+E59</f>
        <v>553.8</v>
      </c>
      <c r="F57" s="45">
        <f>F58+F59</f>
        <v>3670.4</v>
      </c>
      <c r="G57" s="45">
        <f>G58</f>
        <v>0</v>
      </c>
      <c r="H57" s="45">
        <f>H58</f>
        <v>0</v>
      </c>
      <c r="I57" s="45">
        <f>I58</f>
        <v>0</v>
      </c>
      <c r="J57" s="45">
        <f>J58</f>
        <v>0</v>
      </c>
      <c r="K57" s="90">
        <f>C57+H57</f>
        <v>6642.700000000001</v>
      </c>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row>
    <row r="58" spans="1:59" ht="12.75">
      <c r="A58" s="64" t="s">
        <v>117</v>
      </c>
      <c r="B58" s="40" t="s">
        <v>118</v>
      </c>
      <c r="C58" s="30">
        <f t="shared" si="4"/>
        <v>6442.700000000001</v>
      </c>
      <c r="D58" s="25">
        <v>2418.5</v>
      </c>
      <c r="E58" s="25">
        <v>553.8</v>
      </c>
      <c r="F58" s="25">
        <v>3470.4</v>
      </c>
      <c r="G58" s="25"/>
      <c r="H58" s="25"/>
      <c r="I58" s="25"/>
      <c r="J58" s="25"/>
      <c r="K58" s="73">
        <f t="shared" si="0"/>
        <v>6442.700000000001</v>
      </c>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row>
    <row r="59" spans="1:59" ht="12.75">
      <c r="A59" s="252" t="s">
        <v>66</v>
      </c>
      <c r="B59" s="235" t="s">
        <v>65</v>
      </c>
      <c r="C59" s="30">
        <f t="shared" si="4"/>
        <v>200</v>
      </c>
      <c r="D59" s="25"/>
      <c r="E59" s="25"/>
      <c r="F59" s="25">
        <v>200</v>
      </c>
      <c r="G59" s="25"/>
      <c r="H59" s="25"/>
      <c r="I59" s="25"/>
      <c r="J59" s="25"/>
      <c r="K59" s="73">
        <f t="shared" si="0"/>
        <v>200</v>
      </c>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row>
    <row r="60" spans="1:11" ht="12.75">
      <c r="A60" s="62"/>
      <c r="B60" s="56" t="s">
        <v>361</v>
      </c>
      <c r="C60" s="45">
        <f>D60+E60+F60+G60</f>
        <v>5107.8</v>
      </c>
      <c r="D60" s="45">
        <f>D61+D62+D63+D64+D65+D66+D67+D68+D69+D70</f>
        <v>653.2</v>
      </c>
      <c r="E60" s="45">
        <f>E61+E62+E63+E64+E65+E66+E67+E68+E69+E70</f>
        <v>98.9</v>
      </c>
      <c r="F60" s="45">
        <f>F61+F62+F63+F64+F65+F66+F67+F68+F69+F70+F71</f>
        <v>4355.7</v>
      </c>
      <c r="G60" s="45">
        <f>G61+G62+G63+G64+G65+G66+G67+G68+G69+G70</f>
        <v>0</v>
      </c>
      <c r="H60" s="45">
        <f>H61+H62+H63+H64+H65+H66+H67+H68+H69+H70+H71</f>
        <v>300</v>
      </c>
      <c r="I60" s="45">
        <f>I61+I62+I63+I64+I65+I66+I67+I68+I69+I70+I71</f>
        <v>300</v>
      </c>
      <c r="J60" s="27"/>
      <c r="K60" s="90">
        <f>C60+H60</f>
        <v>5407.8</v>
      </c>
    </row>
    <row r="61" spans="1:59" ht="38.25">
      <c r="A61" s="64" t="s">
        <v>362</v>
      </c>
      <c r="B61" s="40" t="s">
        <v>363</v>
      </c>
      <c r="C61" s="30">
        <f>D61+E61+F61+G61</f>
        <v>2695</v>
      </c>
      <c r="D61" s="30"/>
      <c r="E61" s="30"/>
      <c r="F61" s="30">
        <v>2695</v>
      </c>
      <c r="G61" s="25"/>
      <c r="H61" s="25"/>
      <c r="I61" s="25"/>
      <c r="J61" s="25"/>
      <c r="K61" s="73">
        <f t="shared" si="0"/>
        <v>2695</v>
      </c>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row>
    <row r="62" spans="1:59" ht="18" customHeight="1">
      <c r="A62" s="64" t="s">
        <v>274</v>
      </c>
      <c r="B62" s="20" t="s">
        <v>275</v>
      </c>
      <c r="C62" s="30">
        <f t="shared" si="4"/>
        <v>356.79999999999995</v>
      </c>
      <c r="D62" s="30">
        <v>212.1</v>
      </c>
      <c r="E62" s="30">
        <v>12.6</v>
      </c>
      <c r="F62" s="30">
        <v>132.1</v>
      </c>
      <c r="G62" s="25"/>
      <c r="H62" s="25"/>
      <c r="I62" s="25"/>
      <c r="J62" s="25"/>
      <c r="K62" s="73">
        <f t="shared" si="0"/>
        <v>356.79999999999995</v>
      </c>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row>
    <row r="63" spans="1:59" ht="25.5">
      <c r="A63" s="64" t="s">
        <v>276</v>
      </c>
      <c r="B63" s="20" t="s">
        <v>277</v>
      </c>
      <c r="C63" s="30">
        <f t="shared" si="4"/>
        <v>111.3</v>
      </c>
      <c r="D63" s="30"/>
      <c r="E63" s="30">
        <v>13.8</v>
      </c>
      <c r="F63" s="30">
        <v>97.5</v>
      </c>
      <c r="G63" s="25"/>
      <c r="H63" s="25"/>
      <c r="I63" s="25"/>
      <c r="J63" s="25"/>
      <c r="K63" s="73">
        <f t="shared" si="0"/>
        <v>111.3</v>
      </c>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row>
    <row r="64" spans="1:59" ht="25.5">
      <c r="A64" s="64" t="s">
        <v>278</v>
      </c>
      <c r="B64" s="20" t="s">
        <v>364</v>
      </c>
      <c r="C64" s="30">
        <f t="shared" si="4"/>
        <v>450</v>
      </c>
      <c r="D64" s="30"/>
      <c r="E64" s="30"/>
      <c r="F64" s="30">
        <v>450</v>
      </c>
      <c r="G64" s="25"/>
      <c r="H64" s="25"/>
      <c r="I64" s="25"/>
      <c r="J64" s="25"/>
      <c r="K64" s="73">
        <f t="shared" si="0"/>
        <v>450</v>
      </c>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row>
    <row r="65" spans="1:59" ht="25.5">
      <c r="A65" s="64" t="s">
        <v>280</v>
      </c>
      <c r="B65" s="20" t="s">
        <v>281</v>
      </c>
      <c r="C65" s="30">
        <f t="shared" si="4"/>
        <v>30</v>
      </c>
      <c r="D65" s="30"/>
      <c r="E65" s="30"/>
      <c r="F65" s="30">
        <v>30</v>
      </c>
      <c r="G65" s="25"/>
      <c r="H65" s="25"/>
      <c r="I65" s="25"/>
      <c r="J65" s="25"/>
      <c r="K65" s="73">
        <f t="shared" si="0"/>
        <v>30</v>
      </c>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row>
    <row r="66" spans="1:59" ht="15" customHeight="1">
      <c r="A66" s="64" t="s">
        <v>282</v>
      </c>
      <c r="B66" s="20" t="s">
        <v>283</v>
      </c>
      <c r="C66" s="30">
        <f t="shared" si="4"/>
        <v>646.4000000000001</v>
      </c>
      <c r="D66" s="30">
        <v>220.4</v>
      </c>
      <c r="E66" s="30">
        <f>23.4+3.5</f>
        <v>26.9</v>
      </c>
      <c r="F66" s="30">
        <f>402.6-3.5</f>
        <v>399.1</v>
      </c>
      <c r="G66" s="25"/>
      <c r="H66" s="25"/>
      <c r="I66" s="25"/>
      <c r="J66" s="25"/>
      <c r="K66" s="73">
        <f t="shared" si="0"/>
        <v>646.4000000000001</v>
      </c>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row>
    <row r="67" spans="1:59" ht="12.75">
      <c r="A67" s="64" t="s">
        <v>284</v>
      </c>
      <c r="B67" s="20" t="s">
        <v>285</v>
      </c>
      <c r="C67" s="30">
        <f t="shared" si="4"/>
        <v>735.8</v>
      </c>
      <c r="D67" s="30">
        <v>199</v>
      </c>
      <c r="E67" s="30">
        <v>45.6</v>
      </c>
      <c r="F67" s="30">
        <v>491.2</v>
      </c>
      <c r="G67" s="25"/>
      <c r="H67" s="25"/>
      <c r="I67" s="25"/>
      <c r="J67" s="25"/>
      <c r="K67" s="73">
        <f t="shared" si="0"/>
        <v>735.8</v>
      </c>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row>
    <row r="68" spans="1:59" ht="25.5">
      <c r="A68" s="64" t="s">
        <v>286</v>
      </c>
      <c r="B68" s="20" t="s">
        <v>287</v>
      </c>
      <c r="C68" s="30">
        <f t="shared" si="4"/>
        <v>50</v>
      </c>
      <c r="D68" s="30"/>
      <c r="E68" s="30"/>
      <c r="F68" s="30">
        <v>50</v>
      </c>
      <c r="G68" s="25"/>
      <c r="H68" s="25"/>
      <c r="I68" s="25"/>
      <c r="J68" s="25"/>
      <c r="K68" s="73">
        <f t="shared" si="0"/>
        <v>50</v>
      </c>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row>
    <row r="69" spans="1:59" ht="12.75">
      <c r="A69" s="64" t="s">
        <v>291</v>
      </c>
      <c r="B69" s="20" t="s">
        <v>292</v>
      </c>
      <c r="C69" s="30">
        <f t="shared" si="4"/>
        <v>32.5</v>
      </c>
      <c r="D69" s="30">
        <v>21.7</v>
      </c>
      <c r="E69" s="30"/>
      <c r="F69" s="30">
        <v>10.8</v>
      </c>
      <c r="G69" s="25"/>
      <c r="H69" s="25"/>
      <c r="I69" s="25"/>
      <c r="J69" s="25"/>
      <c r="K69" s="73">
        <f t="shared" si="0"/>
        <v>32.5</v>
      </c>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row>
    <row r="70" spans="1:59" ht="12.75">
      <c r="A70" s="64" t="s">
        <v>365</v>
      </c>
      <c r="B70" s="40" t="s">
        <v>366</v>
      </c>
      <c r="C70" s="30">
        <f t="shared" si="4"/>
        <v>0</v>
      </c>
      <c r="D70" s="25"/>
      <c r="E70" s="25"/>
      <c r="F70" s="25"/>
      <c r="G70" s="25"/>
      <c r="H70" s="25"/>
      <c r="I70" s="25"/>
      <c r="J70" s="25"/>
      <c r="K70" s="73">
        <f t="shared" si="0"/>
        <v>0</v>
      </c>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row>
    <row r="71" spans="1:59" ht="12.75">
      <c r="A71" s="64" t="s">
        <v>367</v>
      </c>
      <c r="B71" s="40" t="s">
        <v>126</v>
      </c>
      <c r="C71" s="30">
        <f t="shared" si="4"/>
        <v>0</v>
      </c>
      <c r="D71" s="25"/>
      <c r="E71" s="25"/>
      <c r="F71" s="25"/>
      <c r="G71" s="25"/>
      <c r="H71" s="25">
        <v>300</v>
      </c>
      <c r="I71" s="25">
        <f>H71</f>
        <v>300</v>
      </c>
      <c r="J71" s="25"/>
      <c r="K71" s="73">
        <f t="shared" si="0"/>
        <v>300</v>
      </c>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row>
    <row r="72" spans="1:59" s="21" customFormat="1" ht="12.75">
      <c r="A72" s="62"/>
      <c r="B72" s="56" t="s">
        <v>21</v>
      </c>
      <c r="C72" s="45">
        <f>C73</f>
        <v>50</v>
      </c>
      <c r="D72" s="45">
        <f aca="true" t="shared" si="5" ref="D72:K72">D73</f>
        <v>0</v>
      </c>
      <c r="E72" s="45">
        <f t="shared" si="5"/>
        <v>0</v>
      </c>
      <c r="F72" s="45">
        <f t="shared" si="5"/>
        <v>50</v>
      </c>
      <c r="G72" s="45">
        <f t="shared" si="5"/>
        <v>0</v>
      </c>
      <c r="H72" s="45">
        <f t="shared" si="5"/>
        <v>0</v>
      </c>
      <c r="I72" s="45">
        <f t="shared" si="5"/>
        <v>0</v>
      </c>
      <c r="J72" s="45">
        <f t="shared" si="5"/>
        <v>0</v>
      </c>
      <c r="K72" s="63">
        <f t="shared" si="5"/>
        <v>50</v>
      </c>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row>
    <row r="73" spans="1:59" ht="12.75">
      <c r="A73" s="64" t="s">
        <v>365</v>
      </c>
      <c r="B73" s="40" t="s">
        <v>366</v>
      </c>
      <c r="C73" s="30">
        <f>D73+E73+F73</f>
        <v>50</v>
      </c>
      <c r="D73" s="25"/>
      <c r="E73" s="25"/>
      <c r="F73" s="25">
        <v>50</v>
      </c>
      <c r="G73" s="25"/>
      <c r="H73" s="27">
        <f>I73</f>
        <v>0</v>
      </c>
      <c r="I73" s="25"/>
      <c r="J73" s="25"/>
      <c r="K73" s="90">
        <f>C73+H73</f>
        <v>50</v>
      </c>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row>
    <row r="74" spans="1:59" s="21" customFormat="1" ht="29.25" customHeight="1">
      <c r="A74" s="62"/>
      <c r="B74" s="56" t="s">
        <v>158</v>
      </c>
      <c r="C74" s="45">
        <f>D74+E74+F74+G74</f>
        <v>22100</v>
      </c>
      <c r="D74" s="27"/>
      <c r="E74" s="27"/>
      <c r="F74" s="27">
        <f>13000+9100</f>
        <v>22100</v>
      </c>
      <c r="G74" s="27"/>
      <c r="H74" s="27">
        <f>I74</f>
        <v>0</v>
      </c>
      <c r="I74" s="27">
        <f>I77</f>
        <v>0</v>
      </c>
      <c r="J74" s="27"/>
      <c r="K74" s="90">
        <f>C74+H74</f>
        <v>22100</v>
      </c>
      <c r="L74" s="39"/>
      <c r="M74" s="93"/>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row>
    <row r="75" spans="1:59" s="21" customFormat="1" ht="40.5" customHeight="1" hidden="1">
      <c r="A75" s="64" t="s">
        <v>294</v>
      </c>
      <c r="B75" s="20" t="s">
        <v>295</v>
      </c>
      <c r="C75" s="30">
        <f>F75</f>
        <v>0</v>
      </c>
      <c r="D75" s="25"/>
      <c r="E75" s="25"/>
      <c r="F75" s="25"/>
      <c r="G75" s="27"/>
      <c r="H75" s="27"/>
      <c r="I75" s="27"/>
      <c r="J75" s="27"/>
      <c r="K75" s="73">
        <f t="shared" si="0"/>
        <v>0</v>
      </c>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row>
    <row r="76" spans="1:59" s="21" customFormat="1" ht="12.75" customHeight="1" hidden="1">
      <c r="A76" s="64" t="s">
        <v>311</v>
      </c>
      <c r="B76" s="20" t="s">
        <v>368</v>
      </c>
      <c r="C76" s="30">
        <f>F76</f>
        <v>0</v>
      </c>
      <c r="D76" s="25"/>
      <c r="E76" s="25"/>
      <c r="F76" s="25"/>
      <c r="G76" s="27"/>
      <c r="H76" s="25"/>
      <c r="I76" s="25"/>
      <c r="J76" s="27"/>
      <c r="K76" s="73">
        <f t="shared" si="0"/>
        <v>0</v>
      </c>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row>
    <row r="77" spans="1:59" s="21" customFormat="1" ht="12.75" customHeight="1" hidden="1">
      <c r="A77" s="64" t="s">
        <v>309</v>
      </c>
      <c r="B77" s="20" t="s">
        <v>310</v>
      </c>
      <c r="C77" s="30">
        <f>F77</f>
        <v>0</v>
      </c>
      <c r="D77" s="25"/>
      <c r="E77" s="25"/>
      <c r="F77" s="25"/>
      <c r="G77" s="27"/>
      <c r="H77" s="25">
        <f>I77</f>
        <v>0</v>
      </c>
      <c r="I77" s="25"/>
      <c r="J77" s="27"/>
      <c r="K77" s="73">
        <f t="shared" si="0"/>
        <v>0</v>
      </c>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row>
    <row r="78" spans="1:12" ht="15.75" customHeight="1">
      <c r="A78" s="64"/>
      <c r="B78" s="56" t="s">
        <v>432</v>
      </c>
      <c r="C78" s="45">
        <f>C81+C82+C84+C85+C86+C79+C80</f>
        <v>42332.200000000004</v>
      </c>
      <c r="D78" s="45">
        <f aca="true" t="shared" si="6" ref="D78:I78">D81+D82+D84+D85+D86+D79+D80</f>
        <v>9271.9</v>
      </c>
      <c r="E78" s="45">
        <f t="shared" si="6"/>
        <v>1148.7</v>
      </c>
      <c r="F78" s="45">
        <f>F81+F82+F84+F85+F86+F79+F80</f>
        <v>31911.6</v>
      </c>
      <c r="G78" s="45">
        <f t="shared" si="6"/>
        <v>0</v>
      </c>
      <c r="H78" s="45">
        <f t="shared" si="6"/>
        <v>1013.1</v>
      </c>
      <c r="I78" s="45">
        <f t="shared" si="6"/>
        <v>0</v>
      </c>
      <c r="J78" s="27"/>
      <c r="K78" s="90">
        <f t="shared" si="0"/>
        <v>43345.3</v>
      </c>
      <c r="L78" s="41"/>
    </row>
    <row r="79" spans="1:59" ht="12.75">
      <c r="A79" s="64" t="s">
        <v>297</v>
      </c>
      <c r="B79" s="20" t="s">
        <v>298</v>
      </c>
      <c r="C79" s="30">
        <f>D79+E79+F79+G79</f>
        <v>12894.4</v>
      </c>
      <c r="D79" s="30"/>
      <c r="E79" s="30"/>
      <c r="F79" s="30">
        <f>10208.5+2685.9</f>
        <v>12894.4</v>
      </c>
      <c r="G79" s="30"/>
      <c r="H79" s="30"/>
      <c r="I79" s="30"/>
      <c r="J79" s="25"/>
      <c r="K79" s="73">
        <f t="shared" si="0"/>
        <v>12894.4</v>
      </c>
      <c r="L79" s="94"/>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row>
    <row r="80" spans="1:59" ht="24.75" customHeight="1">
      <c r="A80" s="64" t="s">
        <v>299</v>
      </c>
      <c r="B80" s="20" t="s">
        <v>369</v>
      </c>
      <c r="C80" s="30">
        <f>D80+E80+F80+G80</f>
        <v>7897.1</v>
      </c>
      <c r="D80" s="30"/>
      <c r="E80" s="30"/>
      <c r="F80" s="30">
        <f>5500.7+2396.4</f>
        <v>7897.1</v>
      </c>
      <c r="G80" s="30"/>
      <c r="H80" s="30">
        <v>20</v>
      </c>
      <c r="I80" s="30"/>
      <c r="J80" s="25"/>
      <c r="K80" s="73">
        <f t="shared" si="0"/>
        <v>7917.1</v>
      </c>
      <c r="L80" s="94"/>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row>
    <row r="81" spans="1:59" ht="38.25">
      <c r="A81" s="64" t="s">
        <v>159</v>
      </c>
      <c r="B81" s="40" t="s">
        <v>370</v>
      </c>
      <c r="C81" s="30">
        <f aca="true" t="shared" si="7" ref="C81:C86">D81+E81+F81</f>
        <v>8337.1</v>
      </c>
      <c r="D81" s="25">
        <f>2298.6+138.8</f>
        <v>2437.4</v>
      </c>
      <c r="E81" s="25">
        <f>449.4+39.1</f>
        <v>488.5</v>
      </c>
      <c r="F81" s="25">
        <f>4137.3+1313-39.1</f>
        <v>5411.2</v>
      </c>
      <c r="G81" s="25"/>
      <c r="H81" s="25">
        <v>520.5</v>
      </c>
      <c r="I81" s="25"/>
      <c r="J81" s="25"/>
      <c r="K81" s="73">
        <f t="shared" si="0"/>
        <v>8857.6</v>
      </c>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row>
    <row r="82" spans="1:59" ht="45.75" customHeight="1">
      <c r="A82" s="70" t="s">
        <v>101</v>
      </c>
      <c r="B82" s="95" t="s">
        <v>371</v>
      </c>
      <c r="C82" s="30">
        <f t="shared" si="7"/>
        <v>12624.7</v>
      </c>
      <c r="D82" s="25">
        <v>6834.5</v>
      </c>
      <c r="E82" s="25">
        <f>658.2+2</f>
        <v>660.2</v>
      </c>
      <c r="F82" s="25">
        <f>4632+500-2</f>
        <v>5130</v>
      </c>
      <c r="G82" s="25"/>
      <c r="H82" s="25">
        <v>472.6</v>
      </c>
      <c r="I82" s="25"/>
      <c r="J82" s="25"/>
      <c r="K82" s="73">
        <f t="shared" si="0"/>
        <v>13097.300000000001</v>
      </c>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row>
    <row r="83" spans="1:59" ht="12.75">
      <c r="A83" s="70"/>
      <c r="B83" s="95" t="s">
        <v>372</v>
      </c>
      <c r="C83" s="30">
        <f t="shared" si="7"/>
        <v>31.2</v>
      </c>
      <c r="D83" s="25"/>
      <c r="E83" s="25"/>
      <c r="F83" s="25">
        <v>31.2</v>
      </c>
      <c r="G83" s="25"/>
      <c r="H83" s="25"/>
      <c r="I83" s="25"/>
      <c r="J83" s="25"/>
      <c r="K83" s="73">
        <f t="shared" si="0"/>
        <v>31.2</v>
      </c>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row>
    <row r="84" spans="1:59" ht="25.5">
      <c r="A84" s="64">
        <v>110300</v>
      </c>
      <c r="B84" s="40" t="s">
        <v>160</v>
      </c>
      <c r="C84" s="30">
        <f t="shared" si="7"/>
        <v>253</v>
      </c>
      <c r="D84" s="25"/>
      <c r="E84" s="25"/>
      <c r="F84" s="25">
        <v>253</v>
      </c>
      <c r="G84" s="25"/>
      <c r="H84" s="25"/>
      <c r="I84" s="25"/>
      <c r="J84" s="25"/>
      <c r="K84" s="73">
        <f t="shared" si="0"/>
        <v>253</v>
      </c>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row>
    <row r="85" spans="1:59" ht="25.5">
      <c r="A85" s="64">
        <v>120300</v>
      </c>
      <c r="B85" s="40" t="s">
        <v>67</v>
      </c>
      <c r="C85" s="30">
        <f t="shared" si="7"/>
        <v>65.9</v>
      </c>
      <c r="D85" s="25"/>
      <c r="E85" s="25"/>
      <c r="F85" s="25">
        <v>65.9</v>
      </c>
      <c r="G85" s="25"/>
      <c r="H85" s="25"/>
      <c r="I85" s="25"/>
      <c r="J85" s="25"/>
      <c r="K85" s="73">
        <f t="shared" si="0"/>
        <v>65.9</v>
      </c>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row>
    <row r="86" spans="1:59" ht="27" customHeight="1">
      <c r="A86" s="64">
        <v>120300</v>
      </c>
      <c r="B86" s="40" t="s">
        <v>385</v>
      </c>
      <c r="C86" s="30">
        <f t="shared" si="7"/>
        <v>260</v>
      </c>
      <c r="D86" s="25"/>
      <c r="E86" s="25"/>
      <c r="F86" s="25">
        <v>260</v>
      </c>
      <c r="G86" s="25"/>
      <c r="H86" s="25"/>
      <c r="I86" s="25"/>
      <c r="J86" s="25"/>
      <c r="K86" s="73">
        <f>C86+H86</f>
        <v>260</v>
      </c>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row>
    <row r="87" spans="1:59" s="21" customFormat="1" ht="12.75">
      <c r="A87" s="62"/>
      <c r="B87" s="56" t="s">
        <v>161</v>
      </c>
      <c r="C87" s="45">
        <f>C88+C89+C91+C90</f>
        <v>4579.099999999999</v>
      </c>
      <c r="D87" s="45">
        <f>D88+D89+D91++D90</f>
        <v>0</v>
      </c>
      <c r="E87" s="45">
        <f>E88+E89+E91++E90</f>
        <v>0</v>
      </c>
      <c r="F87" s="45">
        <f>F88+F89+F91++F90</f>
        <v>4579.099999999999</v>
      </c>
      <c r="G87" s="27">
        <f>G89</f>
        <v>0</v>
      </c>
      <c r="H87" s="27"/>
      <c r="I87" s="27"/>
      <c r="J87" s="27"/>
      <c r="K87" s="90">
        <f t="shared" si="0"/>
        <v>4579.099999999999</v>
      </c>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row>
    <row r="88" spans="1:59" ht="25.5">
      <c r="A88" s="70">
        <v>180109</v>
      </c>
      <c r="B88" s="20" t="s">
        <v>129</v>
      </c>
      <c r="C88" s="30">
        <f>D88+E88+F88</f>
        <v>1825</v>
      </c>
      <c r="D88" s="96"/>
      <c r="E88" s="96"/>
      <c r="F88" s="97">
        <v>1825</v>
      </c>
      <c r="G88" s="25"/>
      <c r="H88" s="25"/>
      <c r="I88" s="25"/>
      <c r="J88" s="25"/>
      <c r="K88" s="73">
        <f t="shared" si="0"/>
        <v>1825</v>
      </c>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row>
    <row r="89" spans="1:59" ht="27" customHeight="1">
      <c r="A89" s="64" t="s">
        <v>373</v>
      </c>
      <c r="B89" s="95" t="s">
        <v>122</v>
      </c>
      <c r="C89" s="30">
        <f>D89+E89+F89+G89</f>
        <v>2403.7</v>
      </c>
      <c r="D89" s="25"/>
      <c r="E89" s="25"/>
      <c r="F89" s="25">
        <v>2403.7</v>
      </c>
      <c r="G89" s="98"/>
      <c r="H89" s="25"/>
      <c r="I89" s="25"/>
      <c r="J89" s="25"/>
      <c r="K89" s="73">
        <f t="shared" si="0"/>
        <v>2403.7</v>
      </c>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row>
    <row r="90" spans="1:59" ht="13.5" customHeight="1">
      <c r="A90" s="70">
        <v>120300</v>
      </c>
      <c r="B90" s="20" t="s">
        <v>123</v>
      </c>
      <c r="C90" s="30">
        <f>D90+E90+F90</f>
        <v>223</v>
      </c>
      <c r="D90" s="25"/>
      <c r="E90" s="25"/>
      <c r="F90" s="25">
        <v>223</v>
      </c>
      <c r="G90" s="25"/>
      <c r="H90" s="25"/>
      <c r="I90" s="25"/>
      <c r="J90" s="25"/>
      <c r="K90" s="73">
        <f t="shared" si="0"/>
        <v>223</v>
      </c>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row>
    <row r="91" spans="1:59" ht="18.75" customHeight="1">
      <c r="A91" s="64">
        <v>120300</v>
      </c>
      <c r="B91" s="40" t="s">
        <v>162</v>
      </c>
      <c r="C91" s="30">
        <f>D91+E91+F91</f>
        <v>127.4</v>
      </c>
      <c r="D91" s="25"/>
      <c r="E91" s="25"/>
      <c r="F91" s="25">
        <v>127.4</v>
      </c>
      <c r="G91" s="25"/>
      <c r="H91" s="25"/>
      <c r="I91" s="25"/>
      <c r="J91" s="25"/>
      <c r="K91" s="73">
        <f t="shared" si="0"/>
        <v>127.4</v>
      </c>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row>
    <row r="92" spans="1:59" s="21" customFormat="1" ht="12.75">
      <c r="A92" s="69"/>
      <c r="B92" s="56" t="s">
        <v>163</v>
      </c>
      <c r="C92" s="45">
        <f aca="true" t="shared" si="8" ref="C92:H92">C93+C94+C95</f>
        <v>26749.3</v>
      </c>
      <c r="D92" s="45">
        <f t="shared" si="8"/>
        <v>3116.7</v>
      </c>
      <c r="E92" s="45">
        <f t="shared" si="8"/>
        <v>521.9</v>
      </c>
      <c r="F92" s="45">
        <f>F93+F94+F95</f>
        <v>23110.7</v>
      </c>
      <c r="G92" s="45">
        <f t="shared" si="8"/>
        <v>0</v>
      </c>
      <c r="H92" s="45">
        <f t="shared" si="8"/>
        <v>15</v>
      </c>
      <c r="I92" s="27"/>
      <c r="J92" s="27"/>
      <c r="K92" s="90">
        <f>C92+H92</f>
        <v>26764.3</v>
      </c>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row>
    <row r="93" spans="1:59" ht="43.5" customHeight="1">
      <c r="A93" s="64">
        <v>130000</v>
      </c>
      <c r="B93" s="40" t="s">
        <v>374</v>
      </c>
      <c r="C93" s="30">
        <f>D93+E93+F93+G93</f>
        <v>21405.3</v>
      </c>
      <c r="D93" s="25">
        <v>1644.5</v>
      </c>
      <c r="E93" s="25">
        <v>29.5</v>
      </c>
      <c r="F93" s="25">
        <f>19147.3+584</f>
        <v>19731.3</v>
      </c>
      <c r="G93" s="25"/>
      <c r="H93" s="25"/>
      <c r="I93" s="25"/>
      <c r="J93" s="25"/>
      <c r="K93" s="73">
        <f>C93+H93</f>
        <v>21405.3</v>
      </c>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row>
    <row r="94" spans="1:59" ht="18.75" customHeight="1">
      <c r="A94" s="64" t="s">
        <v>266</v>
      </c>
      <c r="B94" s="95" t="s">
        <v>375</v>
      </c>
      <c r="C94" s="30">
        <f>D94+E94+F94</f>
        <v>4891.3</v>
      </c>
      <c r="D94" s="25">
        <f>1243.6</f>
        <v>1243.6</v>
      </c>
      <c r="E94" s="25">
        <f>152.9+319.6</f>
        <v>472.5</v>
      </c>
      <c r="F94" s="25">
        <f>2794.8+380.4</f>
        <v>3175.2000000000003</v>
      </c>
      <c r="G94" s="25"/>
      <c r="H94" s="25"/>
      <c r="I94" s="25"/>
      <c r="J94" s="25"/>
      <c r="K94" s="73">
        <f t="shared" si="0"/>
        <v>4891.3</v>
      </c>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row>
    <row r="95" spans="1:59" ht="28.5" customHeight="1">
      <c r="A95" s="64" t="s">
        <v>376</v>
      </c>
      <c r="B95" s="71" t="s">
        <v>388</v>
      </c>
      <c r="C95" s="30">
        <f>D95+E95+F95</f>
        <v>452.7</v>
      </c>
      <c r="D95" s="25">
        <v>228.6</v>
      </c>
      <c r="E95" s="25">
        <v>19.9</v>
      </c>
      <c r="F95" s="25">
        <v>204.2</v>
      </c>
      <c r="G95" s="25"/>
      <c r="H95" s="25">
        <v>15</v>
      </c>
      <c r="I95" s="25"/>
      <c r="J95" s="25"/>
      <c r="K95" s="73">
        <f t="shared" si="0"/>
        <v>467.7</v>
      </c>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row>
    <row r="96" spans="1:59" ht="14.25" customHeight="1">
      <c r="A96" s="64"/>
      <c r="B96" s="99" t="s">
        <v>433</v>
      </c>
      <c r="C96" s="45">
        <f>C97+C98+C99+C100+C101+C102</f>
        <v>0</v>
      </c>
      <c r="D96" s="25"/>
      <c r="E96" s="25"/>
      <c r="F96" s="27">
        <f>F97+F102</f>
        <v>0</v>
      </c>
      <c r="G96" s="25"/>
      <c r="H96" s="27">
        <f>H97+H98+H99+H100+H101+H102</f>
        <v>24493.9</v>
      </c>
      <c r="I96" s="27">
        <f>I97+I98+I99+I100+I101+I102</f>
        <v>24493.9</v>
      </c>
      <c r="J96" s="27">
        <f>J97+J98</f>
        <v>0</v>
      </c>
      <c r="K96" s="90">
        <f>C96+H96</f>
        <v>24493.9</v>
      </c>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row>
    <row r="97" spans="1:59" ht="12.75">
      <c r="A97" s="64" t="s">
        <v>367</v>
      </c>
      <c r="B97" s="20" t="s">
        <v>126</v>
      </c>
      <c r="C97" s="30">
        <f>D97+E97+F97</f>
        <v>0</v>
      </c>
      <c r="D97" s="25"/>
      <c r="E97" s="25"/>
      <c r="F97" s="25"/>
      <c r="G97" s="25"/>
      <c r="H97" s="25">
        <f aca="true" t="shared" si="9" ref="H97:H102">I97</f>
        <v>14142.5</v>
      </c>
      <c r="I97" s="25">
        <f>1000+3000+2.5+12000-1860</f>
        <v>14142.5</v>
      </c>
      <c r="J97" s="25"/>
      <c r="K97" s="73">
        <f>H97</f>
        <v>14142.5</v>
      </c>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row>
    <row r="98" spans="1:59" ht="68.25" customHeight="1">
      <c r="A98" s="64" t="s">
        <v>301</v>
      </c>
      <c r="B98" s="71" t="s">
        <v>391</v>
      </c>
      <c r="C98" s="30">
        <f>D98+E98+F98</f>
        <v>0</v>
      </c>
      <c r="D98" s="25"/>
      <c r="E98" s="25"/>
      <c r="F98" s="25"/>
      <c r="G98" s="25"/>
      <c r="H98" s="25">
        <f t="shared" si="9"/>
        <v>3891.4</v>
      </c>
      <c r="I98" s="25">
        <v>3891.4</v>
      </c>
      <c r="J98" s="25"/>
      <c r="K98" s="73">
        <f>H98+C98</f>
        <v>3891.4</v>
      </c>
      <c r="L98" s="31"/>
      <c r="M98" s="31"/>
      <c r="N98" s="94"/>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row>
    <row r="99" spans="1:59" ht="25.5">
      <c r="A99" s="64" t="s">
        <v>303</v>
      </c>
      <c r="B99" s="71" t="s">
        <v>304</v>
      </c>
      <c r="C99" s="30">
        <v>0</v>
      </c>
      <c r="D99" s="25"/>
      <c r="E99" s="25"/>
      <c r="F99" s="25"/>
      <c r="G99" s="25"/>
      <c r="H99" s="25">
        <f t="shared" si="9"/>
        <v>2460</v>
      </c>
      <c r="I99" s="25">
        <f>600+1860</f>
        <v>2460</v>
      </c>
      <c r="J99" s="25"/>
      <c r="K99" s="73">
        <f>H99+C99</f>
        <v>2460</v>
      </c>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row>
    <row r="100" spans="1:59" ht="12.75">
      <c r="A100" s="64" t="s">
        <v>307</v>
      </c>
      <c r="B100" s="71" t="s">
        <v>308</v>
      </c>
      <c r="C100" s="30">
        <v>0</v>
      </c>
      <c r="D100" s="25"/>
      <c r="E100" s="25"/>
      <c r="F100" s="25"/>
      <c r="G100" s="25"/>
      <c r="H100" s="25">
        <f t="shared" si="9"/>
        <v>4000</v>
      </c>
      <c r="I100" s="25">
        <v>4000</v>
      </c>
      <c r="J100" s="25"/>
      <c r="K100" s="73">
        <f>H100+C100</f>
        <v>4000</v>
      </c>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row>
    <row r="101" spans="1:59" ht="17.25" customHeight="1" hidden="1">
      <c r="A101" s="70" t="s">
        <v>309</v>
      </c>
      <c r="B101" s="20" t="s">
        <v>310</v>
      </c>
      <c r="C101" s="30">
        <v>0</v>
      </c>
      <c r="D101" s="25"/>
      <c r="E101" s="25"/>
      <c r="F101" s="25"/>
      <c r="G101" s="25"/>
      <c r="H101" s="25">
        <f t="shared" si="9"/>
        <v>0</v>
      </c>
      <c r="I101" s="25"/>
      <c r="J101" s="25"/>
      <c r="K101" s="73">
        <f>H101+C101</f>
        <v>0</v>
      </c>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row>
    <row r="102" spans="1:59" ht="25.5" hidden="1">
      <c r="A102" s="70" t="s">
        <v>322</v>
      </c>
      <c r="B102" s="20" t="s">
        <v>323</v>
      </c>
      <c r="C102" s="30">
        <f>D102+E102+F102</f>
        <v>0</v>
      </c>
      <c r="D102" s="25"/>
      <c r="E102" s="25"/>
      <c r="F102" s="25"/>
      <c r="G102" s="25"/>
      <c r="H102" s="25">
        <f t="shared" si="9"/>
        <v>0</v>
      </c>
      <c r="I102" s="25"/>
      <c r="J102" s="25"/>
      <c r="K102" s="73">
        <f>H102+C102</f>
        <v>0</v>
      </c>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row>
    <row r="103" spans="1:59" ht="12.75" hidden="1">
      <c r="A103" s="64"/>
      <c r="B103" s="99" t="s">
        <v>378</v>
      </c>
      <c r="C103" s="30"/>
      <c r="D103" s="25"/>
      <c r="E103" s="25"/>
      <c r="F103" s="25"/>
      <c r="G103" s="25"/>
      <c r="H103" s="27">
        <f>H104</f>
        <v>0</v>
      </c>
      <c r="I103" s="27">
        <f>I104</f>
        <v>0</v>
      </c>
      <c r="J103" s="27"/>
      <c r="K103" s="90">
        <f>K104</f>
        <v>0</v>
      </c>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row>
    <row r="104" spans="1:59" ht="12.75" hidden="1">
      <c r="A104" s="64" t="s">
        <v>367</v>
      </c>
      <c r="B104" s="20" t="s">
        <v>126</v>
      </c>
      <c r="C104" s="30">
        <f>D104+E104+F104</f>
        <v>0</v>
      </c>
      <c r="D104" s="25"/>
      <c r="E104" s="25"/>
      <c r="F104" s="25"/>
      <c r="G104" s="25"/>
      <c r="H104" s="25">
        <f>100-100</f>
        <v>0</v>
      </c>
      <c r="I104" s="25">
        <f>H104</f>
        <v>0</v>
      </c>
      <c r="J104" s="25"/>
      <c r="K104" s="73">
        <f>C104+H104</f>
        <v>0</v>
      </c>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row>
    <row r="105" spans="1:59" s="21" customFormat="1" ht="25.5">
      <c r="A105" s="62"/>
      <c r="B105" s="57" t="s">
        <v>264</v>
      </c>
      <c r="C105" s="45">
        <f>C106</f>
        <v>3000</v>
      </c>
      <c r="D105" s="45">
        <f>D106</f>
        <v>0</v>
      </c>
      <c r="E105" s="45">
        <f>E106</f>
        <v>0</v>
      </c>
      <c r="F105" s="45">
        <f>F106</f>
        <v>3000</v>
      </c>
      <c r="G105" s="27">
        <f>G106</f>
        <v>0</v>
      </c>
      <c r="H105" s="27"/>
      <c r="I105" s="27"/>
      <c r="J105" s="27"/>
      <c r="K105" s="90">
        <f t="shared" si="0"/>
        <v>3000</v>
      </c>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row>
    <row r="106" spans="1:59" ht="25.5">
      <c r="A106" s="64">
        <v>210000</v>
      </c>
      <c r="B106" s="22" t="s">
        <v>316</v>
      </c>
      <c r="C106" s="30">
        <f>D106+E106+F106+G106</f>
        <v>3000</v>
      </c>
      <c r="D106" s="25"/>
      <c r="E106" s="25"/>
      <c r="F106" s="25">
        <v>3000</v>
      </c>
      <c r="G106" s="25"/>
      <c r="H106" s="25"/>
      <c r="I106" s="25"/>
      <c r="J106" s="25"/>
      <c r="K106" s="73">
        <f t="shared" si="0"/>
        <v>3000</v>
      </c>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row>
    <row r="107" spans="1:59" s="21" customFormat="1" ht="12.75">
      <c r="A107" s="62"/>
      <c r="B107" s="57" t="s">
        <v>164</v>
      </c>
      <c r="C107" s="45">
        <f>C108</f>
        <v>200</v>
      </c>
      <c r="D107" s="45">
        <f>D108</f>
        <v>0</v>
      </c>
      <c r="E107" s="45">
        <f>E108</f>
        <v>0</v>
      </c>
      <c r="F107" s="45">
        <f>F108</f>
        <v>200</v>
      </c>
      <c r="G107" s="45">
        <f>G108</f>
        <v>0</v>
      </c>
      <c r="H107" s="27"/>
      <c r="I107" s="27"/>
      <c r="J107" s="27"/>
      <c r="K107" s="90">
        <f t="shared" si="0"/>
        <v>200</v>
      </c>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row>
    <row r="108" spans="1:59" s="21" customFormat="1" ht="12.75">
      <c r="A108" s="70">
        <v>180404</v>
      </c>
      <c r="B108" s="24" t="s">
        <v>130</v>
      </c>
      <c r="C108" s="30">
        <f>D108+E108+F108</f>
        <v>200</v>
      </c>
      <c r="D108" s="25"/>
      <c r="E108" s="25"/>
      <c r="F108" s="25">
        <v>200</v>
      </c>
      <c r="G108" s="25"/>
      <c r="H108" s="25"/>
      <c r="I108" s="25"/>
      <c r="J108" s="25"/>
      <c r="K108" s="73">
        <f t="shared" si="0"/>
        <v>200</v>
      </c>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row>
    <row r="109" spans="1:59" s="21" customFormat="1" ht="12.75">
      <c r="A109" s="70"/>
      <c r="B109" s="54" t="s">
        <v>265</v>
      </c>
      <c r="C109" s="45">
        <f>C111+C110+C112</f>
        <v>850</v>
      </c>
      <c r="D109" s="45">
        <f>D111+D110+D112</f>
        <v>0</v>
      </c>
      <c r="E109" s="45">
        <f>E111+E110+E112</f>
        <v>0</v>
      </c>
      <c r="F109" s="45">
        <f>F111+F110+F112</f>
        <v>850</v>
      </c>
      <c r="G109" s="25"/>
      <c r="H109" s="25"/>
      <c r="I109" s="25"/>
      <c r="J109" s="25"/>
      <c r="K109" s="90">
        <f>C109+H109</f>
        <v>850</v>
      </c>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row>
    <row r="110" spans="1:59" ht="12.75">
      <c r="A110" s="70" t="s">
        <v>68</v>
      </c>
      <c r="B110" s="24" t="s">
        <v>69</v>
      </c>
      <c r="C110" s="30">
        <f>D110+E110+F110</f>
        <v>450</v>
      </c>
      <c r="D110" s="30"/>
      <c r="E110" s="30"/>
      <c r="F110" s="30">
        <v>450</v>
      </c>
      <c r="G110" s="25"/>
      <c r="H110" s="25"/>
      <c r="I110" s="25"/>
      <c r="J110" s="25"/>
      <c r="K110" s="73">
        <f t="shared" si="0"/>
        <v>450</v>
      </c>
      <c r="L110" s="236"/>
      <c r="M110" s="236"/>
      <c r="N110" s="236"/>
      <c r="O110" s="236"/>
      <c r="P110" s="236"/>
      <c r="Q110" s="236"/>
      <c r="R110" s="236"/>
      <c r="S110" s="236"/>
      <c r="T110" s="236"/>
      <c r="U110" s="236"/>
      <c r="V110" s="236"/>
      <c r="W110" s="236"/>
      <c r="X110" s="236"/>
      <c r="Y110" s="236"/>
      <c r="Z110" s="236"/>
      <c r="AA110" s="236"/>
      <c r="AB110" s="236"/>
      <c r="AC110" s="236"/>
      <c r="AD110" s="236"/>
      <c r="AE110" s="236"/>
      <c r="AF110" s="236"/>
      <c r="AG110" s="236"/>
      <c r="AH110" s="236"/>
      <c r="AI110" s="236"/>
      <c r="AJ110" s="236"/>
      <c r="AK110" s="236"/>
      <c r="AL110" s="236"/>
      <c r="AM110" s="236"/>
      <c r="AN110" s="236"/>
      <c r="AO110" s="236"/>
      <c r="AP110" s="236"/>
      <c r="AQ110" s="236"/>
      <c r="AR110" s="236"/>
      <c r="AS110" s="236"/>
      <c r="AT110" s="236"/>
      <c r="AU110" s="236"/>
      <c r="AV110" s="236"/>
      <c r="AW110" s="236"/>
      <c r="AX110" s="236"/>
      <c r="AY110" s="236"/>
      <c r="AZ110" s="236"/>
      <c r="BA110" s="236"/>
      <c r="BB110" s="236"/>
      <c r="BC110" s="236"/>
      <c r="BD110" s="236"/>
      <c r="BE110" s="236"/>
      <c r="BF110" s="236"/>
      <c r="BG110" s="236"/>
    </row>
    <row r="111" spans="1:59" s="21" customFormat="1" ht="25.5">
      <c r="A111" s="64">
        <v>180109</v>
      </c>
      <c r="B111" s="24" t="s">
        <v>129</v>
      </c>
      <c r="C111" s="30">
        <f>D111+E111+F111</f>
        <v>400</v>
      </c>
      <c r="D111" s="25"/>
      <c r="E111" s="25"/>
      <c r="F111" s="25">
        <v>400</v>
      </c>
      <c r="G111" s="25"/>
      <c r="H111" s="25"/>
      <c r="I111" s="25"/>
      <c r="J111" s="25"/>
      <c r="K111" s="73">
        <f t="shared" si="0"/>
        <v>400</v>
      </c>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row>
    <row r="112" spans="1:59" s="21" customFormat="1" ht="12.75" hidden="1">
      <c r="A112" s="64" t="s">
        <v>70</v>
      </c>
      <c r="B112" s="24" t="s">
        <v>71</v>
      </c>
      <c r="C112" s="30">
        <f>D112+E112+F112</f>
        <v>0</v>
      </c>
      <c r="D112" s="25"/>
      <c r="E112" s="25"/>
      <c r="F112" s="25">
        <f>212-212</f>
        <v>0</v>
      </c>
      <c r="G112" s="25"/>
      <c r="H112" s="25"/>
      <c r="I112" s="25"/>
      <c r="J112" s="25"/>
      <c r="K112" s="73">
        <f t="shared" si="0"/>
        <v>0</v>
      </c>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row>
    <row r="113" spans="1:59" s="21" customFormat="1" ht="12.75" hidden="1">
      <c r="A113" s="64"/>
      <c r="B113" s="54" t="s">
        <v>379</v>
      </c>
      <c r="C113" s="45">
        <f>C114</f>
        <v>0</v>
      </c>
      <c r="D113" s="27"/>
      <c r="E113" s="27"/>
      <c r="F113" s="27">
        <f>F114</f>
        <v>0</v>
      </c>
      <c r="G113" s="27"/>
      <c r="H113" s="27"/>
      <c r="I113" s="27"/>
      <c r="J113" s="27"/>
      <c r="K113" s="90">
        <f t="shared" si="0"/>
        <v>0</v>
      </c>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row>
    <row r="114" spans="1:59" s="21" customFormat="1" ht="12.75" hidden="1">
      <c r="A114" s="70">
        <v>250404</v>
      </c>
      <c r="B114" s="20" t="s">
        <v>137</v>
      </c>
      <c r="C114" s="30">
        <f>F114</f>
        <v>0</v>
      </c>
      <c r="D114" s="25"/>
      <c r="E114" s="25"/>
      <c r="F114" s="25"/>
      <c r="G114" s="25"/>
      <c r="H114" s="25"/>
      <c r="I114" s="25"/>
      <c r="J114" s="25"/>
      <c r="K114" s="73">
        <f t="shared" si="0"/>
        <v>0</v>
      </c>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row>
    <row r="115" spans="1:59" s="21" customFormat="1" ht="12.75">
      <c r="A115" s="69"/>
      <c r="B115" s="26" t="s">
        <v>23</v>
      </c>
      <c r="C115" s="45">
        <f>F115</f>
        <v>463</v>
      </c>
      <c r="D115" s="27">
        <f>D116</f>
        <v>0</v>
      </c>
      <c r="E115" s="27">
        <f>E116</f>
        <v>0</v>
      </c>
      <c r="F115" s="27">
        <f>F116</f>
        <v>463</v>
      </c>
      <c r="G115" s="27"/>
      <c r="H115" s="27"/>
      <c r="I115" s="27"/>
      <c r="J115" s="27"/>
      <c r="K115" s="90">
        <f t="shared" si="0"/>
        <v>463</v>
      </c>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row>
    <row r="116" spans="1:59" s="21" customFormat="1" ht="25.5">
      <c r="A116" s="70" t="s">
        <v>24</v>
      </c>
      <c r="B116" s="22" t="s">
        <v>316</v>
      </c>
      <c r="C116" s="30">
        <f>F116</f>
        <v>463</v>
      </c>
      <c r="D116" s="25"/>
      <c r="E116" s="25"/>
      <c r="F116" s="25">
        <v>463</v>
      </c>
      <c r="G116" s="25"/>
      <c r="H116" s="25"/>
      <c r="I116" s="25"/>
      <c r="J116" s="25"/>
      <c r="K116" s="73">
        <f t="shared" si="0"/>
        <v>463</v>
      </c>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row>
    <row r="117" spans="1:59" s="21" customFormat="1" ht="12.75">
      <c r="A117" s="62"/>
      <c r="B117" s="56" t="s">
        <v>165</v>
      </c>
      <c r="C117" s="45">
        <f>C118+C119+C120+C121+C122+C124+C125+C126+C127+C128+C129+C130+C131+C134+C135+C137+C139+C141+C140+C143+C133+C142+C144+C123+C145+C146+C132+C147</f>
        <v>554427.2000000001</v>
      </c>
      <c r="D117" s="45">
        <f>D118+D119+D120+D121+D122+D124+D125+D126+D127+D128+D129+D130+D131+D134+D135+D137+D139+D141+D140+D143+D133+D142+D144+D123+D145+D146+D132+D147</f>
        <v>0</v>
      </c>
      <c r="E117" s="45">
        <f>E118+E119+E120+E121+E122+E124+E125+E126+E127+E128+E129+E130+E131+E134+E135+E137+E139+E141+E140+E143+E133+E142+E144+E123+E145+E146+E132+E147</f>
        <v>0</v>
      </c>
      <c r="F117" s="45">
        <f>F118+F119+F120+F121+F122+F124+F125+F126+F127+F128+F129+F130+F131+F134+F135+F137+F139+F141+F140+F143+F133+F142+F144+F123+F145+F146+F132+F147</f>
        <v>554427.2000000001</v>
      </c>
      <c r="G117" s="45">
        <f>G118+G119+G120+G121+G122+G124+G125+G126+G127+G128+G129+G130+G131+G134+G135+G137+G139+G141+G140</f>
        <v>0</v>
      </c>
      <c r="H117" s="45">
        <f>H118+H119+H120+H121+H122+H124+H125+H126+H127+H128+H129+H130+H131+H134+H135+H137+H139+H141+H140+H123</f>
        <v>79821</v>
      </c>
      <c r="I117" s="45">
        <f>I118+I119+I120+I121+I122+I124+I125+I126+I127+I128+I129+I130+I131+I134+I135+I137+I139+I141+I140+I123</f>
        <v>0</v>
      </c>
      <c r="J117" s="45"/>
      <c r="K117" s="90">
        <f>C117+H117</f>
        <v>634248.2000000001</v>
      </c>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row>
    <row r="118" spans="1:59" ht="12.75" hidden="1">
      <c r="A118" s="64" t="s">
        <v>367</v>
      </c>
      <c r="B118" s="20" t="s">
        <v>126</v>
      </c>
      <c r="C118" s="30">
        <f aca="true" t="shared" si="10" ref="C118:C147">D118+E118+F118</f>
        <v>0</v>
      </c>
      <c r="D118" s="25"/>
      <c r="E118" s="25"/>
      <c r="F118" s="25"/>
      <c r="G118" s="25"/>
      <c r="H118" s="25"/>
      <c r="I118" s="25">
        <f>H118</f>
        <v>0</v>
      </c>
      <c r="J118" s="25"/>
      <c r="K118" s="73">
        <f t="shared" si="0"/>
        <v>0</v>
      </c>
      <c r="L118" s="94"/>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row>
    <row r="119" spans="1:59" ht="14.25" customHeight="1" hidden="1">
      <c r="A119" s="64" t="s">
        <v>301</v>
      </c>
      <c r="B119" s="71" t="s">
        <v>377</v>
      </c>
      <c r="C119" s="30">
        <f t="shared" si="10"/>
        <v>0</v>
      </c>
      <c r="D119" s="25"/>
      <c r="E119" s="25"/>
      <c r="F119" s="25"/>
      <c r="G119" s="25"/>
      <c r="H119" s="25">
        <f>I119</f>
        <v>0</v>
      </c>
      <c r="I119" s="25"/>
      <c r="J119" s="25"/>
      <c r="K119" s="73">
        <f t="shared" si="0"/>
        <v>0</v>
      </c>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row>
    <row r="120" spans="1:59" ht="12" customHeight="1" hidden="1">
      <c r="A120" s="64" t="s">
        <v>303</v>
      </c>
      <c r="B120" s="71" t="s">
        <v>304</v>
      </c>
      <c r="C120" s="30">
        <f t="shared" si="10"/>
        <v>0</v>
      </c>
      <c r="D120" s="25"/>
      <c r="E120" s="25"/>
      <c r="F120" s="25"/>
      <c r="G120" s="25"/>
      <c r="H120" s="25">
        <f>I120</f>
        <v>0</v>
      </c>
      <c r="I120" s="25"/>
      <c r="J120" s="25"/>
      <c r="K120" s="73">
        <f t="shared" si="0"/>
        <v>0</v>
      </c>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row>
    <row r="121" spans="1:59" ht="12" customHeight="1" hidden="1">
      <c r="A121" s="64" t="s">
        <v>307</v>
      </c>
      <c r="B121" s="20" t="s">
        <v>308</v>
      </c>
      <c r="C121" s="30">
        <f t="shared" si="10"/>
        <v>0</v>
      </c>
      <c r="D121" s="25"/>
      <c r="E121" s="25"/>
      <c r="F121" s="25"/>
      <c r="G121" s="25"/>
      <c r="H121" s="25">
        <f>I121</f>
        <v>0</v>
      </c>
      <c r="I121" s="25"/>
      <c r="J121" s="25"/>
      <c r="K121" s="73">
        <f t="shared" si="0"/>
        <v>0</v>
      </c>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row>
    <row r="122" spans="1:59" ht="40.5" customHeight="1">
      <c r="A122" s="64">
        <v>170703</v>
      </c>
      <c r="B122" s="20" t="s">
        <v>128</v>
      </c>
      <c r="C122" s="30">
        <f t="shared" si="10"/>
        <v>0</v>
      </c>
      <c r="D122" s="25"/>
      <c r="E122" s="25"/>
      <c r="F122" s="25"/>
      <c r="G122" s="25"/>
      <c r="H122" s="25">
        <f>36050-2550</f>
        <v>33500</v>
      </c>
      <c r="I122" s="25"/>
      <c r="J122" s="25"/>
      <c r="K122" s="73">
        <f t="shared" si="0"/>
        <v>33500</v>
      </c>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row>
    <row r="123" spans="1:59" ht="25.5">
      <c r="A123" s="64" t="s">
        <v>380</v>
      </c>
      <c r="B123" s="24" t="s">
        <v>129</v>
      </c>
      <c r="C123" s="30">
        <f>D123+E123+F123</f>
        <v>0</v>
      </c>
      <c r="D123" s="25"/>
      <c r="E123" s="25"/>
      <c r="F123" s="25"/>
      <c r="G123" s="25"/>
      <c r="H123" s="25"/>
      <c r="I123" s="25"/>
      <c r="J123" s="25"/>
      <c r="K123" s="73">
        <f t="shared" si="0"/>
        <v>0</v>
      </c>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row>
    <row r="124" spans="1:59" ht="12" customHeight="1">
      <c r="A124" s="64" t="s">
        <v>166</v>
      </c>
      <c r="B124" s="20" t="s">
        <v>167</v>
      </c>
      <c r="C124" s="30">
        <f t="shared" si="10"/>
        <v>0</v>
      </c>
      <c r="D124" s="25"/>
      <c r="E124" s="25"/>
      <c r="F124" s="25"/>
      <c r="G124" s="25"/>
      <c r="H124" s="25">
        <v>821</v>
      </c>
      <c r="I124" s="25"/>
      <c r="J124" s="25"/>
      <c r="K124" s="73">
        <f>C124+H124</f>
        <v>821</v>
      </c>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row>
    <row r="125" spans="1:59" ht="12.75">
      <c r="A125" s="70">
        <v>230000</v>
      </c>
      <c r="B125" s="24" t="s">
        <v>131</v>
      </c>
      <c r="C125" s="30">
        <f t="shared" si="10"/>
        <v>0.1</v>
      </c>
      <c r="D125" s="25"/>
      <c r="E125" s="25"/>
      <c r="F125" s="25">
        <v>0.1</v>
      </c>
      <c r="G125" s="25"/>
      <c r="H125" s="25"/>
      <c r="I125" s="25"/>
      <c r="J125" s="25"/>
      <c r="K125" s="73">
        <f t="shared" si="0"/>
        <v>0.1</v>
      </c>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row>
    <row r="126" spans="1:59" ht="67.5" customHeight="1">
      <c r="A126" s="64" t="s">
        <v>221</v>
      </c>
      <c r="B126" s="24" t="s">
        <v>133</v>
      </c>
      <c r="C126" s="30">
        <f t="shared" si="10"/>
        <v>0</v>
      </c>
      <c r="D126" s="25"/>
      <c r="E126" s="25"/>
      <c r="F126" s="25"/>
      <c r="G126" s="25"/>
      <c r="H126" s="25">
        <v>45500</v>
      </c>
      <c r="I126" s="25"/>
      <c r="J126" s="25"/>
      <c r="K126" s="73">
        <f aca="true" t="shared" si="11" ref="K126:K147">C126+H126</f>
        <v>45500</v>
      </c>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row>
    <row r="127" spans="1:59" ht="12.75">
      <c r="A127" s="64">
        <v>250102</v>
      </c>
      <c r="B127" s="40" t="s">
        <v>135</v>
      </c>
      <c r="C127" s="30">
        <f t="shared" si="10"/>
        <v>3000</v>
      </c>
      <c r="D127" s="25"/>
      <c r="E127" s="25"/>
      <c r="F127" s="25">
        <f>3000</f>
        <v>3000</v>
      </c>
      <c r="G127" s="25"/>
      <c r="H127" s="25"/>
      <c r="I127" s="25"/>
      <c r="J127" s="25"/>
      <c r="K127" s="73">
        <f t="shared" si="11"/>
        <v>3000</v>
      </c>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row>
    <row r="128" spans="1:59" ht="43.5" customHeight="1">
      <c r="A128" s="70">
        <v>250301</v>
      </c>
      <c r="B128" s="52" t="s">
        <v>330</v>
      </c>
      <c r="C128" s="30">
        <f t="shared" si="10"/>
        <v>25306.9</v>
      </c>
      <c r="D128" s="25"/>
      <c r="E128" s="25"/>
      <c r="F128" s="25">
        <v>25306.9</v>
      </c>
      <c r="G128" s="25"/>
      <c r="H128" s="25"/>
      <c r="I128" s="25"/>
      <c r="J128" s="25"/>
      <c r="K128" s="73">
        <f t="shared" si="11"/>
        <v>25306.9</v>
      </c>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row>
    <row r="129" spans="1:59" ht="30" customHeight="1">
      <c r="A129" s="70">
        <v>250306</v>
      </c>
      <c r="B129" s="24" t="s">
        <v>139</v>
      </c>
      <c r="C129" s="30">
        <f t="shared" si="10"/>
        <v>53953.9</v>
      </c>
      <c r="D129" s="25"/>
      <c r="E129" s="25"/>
      <c r="F129" s="25">
        <f>3891.4+51002.5-940</f>
        <v>53953.9</v>
      </c>
      <c r="G129" s="25"/>
      <c r="H129" s="25"/>
      <c r="I129" s="25"/>
      <c r="J129" s="25"/>
      <c r="K129" s="73">
        <f t="shared" si="11"/>
        <v>53953.9</v>
      </c>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row>
    <row r="130" spans="1:59" ht="25.5">
      <c r="A130" s="70" t="s">
        <v>320</v>
      </c>
      <c r="B130" s="20" t="s">
        <v>321</v>
      </c>
      <c r="C130" s="30">
        <f t="shared" si="10"/>
        <v>181.29999999999998</v>
      </c>
      <c r="D130" s="25"/>
      <c r="E130" s="25"/>
      <c r="F130" s="25">
        <f>181.2+0.1</f>
        <v>181.29999999999998</v>
      </c>
      <c r="G130" s="25"/>
      <c r="H130" s="25"/>
      <c r="I130" s="25"/>
      <c r="J130" s="25"/>
      <c r="K130" s="73">
        <f t="shared" si="11"/>
        <v>181.29999999999998</v>
      </c>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row>
    <row r="131" spans="1:59" ht="67.5" customHeight="1">
      <c r="A131" s="70">
        <v>250313</v>
      </c>
      <c r="B131" s="46" t="s">
        <v>381</v>
      </c>
      <c r="C131" s="30">
        <f t="shared" si="10"/>
        <v>14398.5</v>
      </c>
      <c r="D131" s="25"/>
      <c r="E131" s="25"/>
      <c r="F131" s="25">
        <v>14398.5</v>
      </c>
      <c r="G131" s="25"/>
      <c r="H131" s="25"/>
      <c r="I131" s="25"/>
      <c r="J131" s="25"/>
      <c r="K131" s="73">
        <f t="shared" si="11"/>
        <v>14398.5</v>
      </c>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row>
    <row r="132" spans="1:59" ht="76.5" hidden="1">
      <c r="A132" s="70" t="s">
        <v>326</v>
      </c>
      <c r="B132" s="46" t="s">
        <v>382</v>
      </c>
      <c r="C132" s="30">
        <f t="shared" si="10"/>
        <v>0</v>
      </c>
      <c r="D132" s="25"/>
      <c r="E132" s="25"/>
      <c r="F132" s="25"/>
      <c r="G132" s="25"/>
      <c r="H132" s="25"/>
      <c r="I132" s="25"/>
      <c r="J132" s="25"/>
      <c r="K132" s="73">
        <f t="shared" si="11"/>
        <v>0</v>
      </c>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row>
    <row r="133" spans="1:59" ht="25.5">
      <c r="A133" s="70" t="s">
        <v>389</v>
      </c>
      <c r="B133" s="74" t="s">
        <v>390</v>
      </c>
      <c r="C133" s="30">
        <f t="shared" si="10"/>
        <v>524.8</v>
      </c>
      <c r="D133" s="25"/>
      <c r="E133" s="25"/>
      <c r="F133" s="30">
        <v>524.8</v>
      </c>
      <c r="G133" s="25"/>
      <c r="H133" s="25"/>
      <c r="I133" s="25"/>
      <c r="J133" s="25"/>
      <c r="K133" s="73">
        <f t="shared" si="11"/>
        <v>524.8</v>
      </c>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row>
    <row r="134" spans="1:59" ht="40.5" customHeight="1">
      <c r="A134" s="70" t="s">
        <v>332</v>
      </c>
      <c r="B134" s="122" t="s">
        <v>333</v>
      </c>
      <c r="C134" s="30">
        <f t="shared" si="10"/>
        <v>135671.6</v>
      </c>
      <c r="D134" s="25"/>
      <c r="E134" s="25"/>
      <c r="F134" s="25">
        <v>135671.6</v>
      </c>
      <c r="G134" s="25"/>
      <c r="H134" s="25"/>
      <c r="I134" s="25"/>
      <c r="J134" s="25"/>
      <c r="K134" s="73">
        <f t="shared" si="11"/>
        <v>135671.6</v>
      </c>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row>
    <row r="135" spans="1:13" s="21" customFormat="1" ht="123" customHeight="1">
      <c r="A135" s="186" t="s">
        <v>334</v>
      </c>
      <c r="B135" s="189" t="s">
        <v>74</v>
      </c>
      <c r="C135" s="339">
        <f t="shared" si="10"/>
        <v>214383.2</v>
      </c>
      <c r="D135" s="340"/>
      <c r="E135" s="340"/>
      <c r="F135" s="340">
        <v>214383.2</v>
      </c>
      <c r="G135" s="340"/>
      <c r="H135" s="340"/>
      <c r="I135" s="340"/>
      <c r="J135" s="318"/>
      <c r="K135" s="336">
        <f t="shared" si="11"/>
        <v>214383.2</v>
      </c>
      <c r="L135" s="28"/>
      <c r="M135" s="29"/>
    </row>
    <row r="136" spans="1:13" s="21" customFormat="1" ht="203.25" customHeight="1">
      <c r="A136" s="199"/>
      <c r="B136" s="208" t="s">
        <v>443</v>
      </c>
      <c r="C136" s="320"/>
      <c r="D136" s="318"/>
      <c r="E136" s="318"/>
      <c r="F136" s="318"/>
      <c r="G136" s="318"/>
      <c r="H136" s="318"/>
      <c r="I136" s="318"/>
      <c r="J136" s="318"/>
      <c r="K136" s="336"/>
      <c r="L136" s="28"/>
      <c r="M136" s="29"/>
    </row>
    <row r="137" spans="1:13" s="21" customFormat="1" ht="147.75" customHeight="1">
      <c r="A137" s="70" t="s">
        <v>335</v>
      </c>
      <c r="B137" s="191" t="s">
        <v>73</v>
      </c>
      <c r="C137" s="30">
        <f t="shared" si="10"/>
        <v>76175.4</v>
      </c>
      <c r="D137" s="30"/>
      <c r="E137" s="30"/>
      <c r="F137" s="30">
        <v>76175.4</v>
      </c>
      <c r="G137" s="30"/>
      <c r="H137" s="30"/>
      <c r="I137" s="30"/>
      <c r="J137" s="30"/>
      <c r="K137" s="73">
        <f t="shared" si="11"/>
        <v>76175.4</v>
      </c>
      <c r="L137" s="28"/>
      <c r="M137" s="29"/>
    </row>
    <row r="138" spans="1:13" s="21" customFormat="1" ht="120" customHeight="1">
      <c r="A138" s="186" t="s">
        <v>336</v>
      </c>
      <c r="B138" s="189" t="s">
        <v>74</v>
      </c>
      <c r="C138" s="193"/>
      <c r="D138" s="193"/>
      <c r="E138" s="193"/>
      <c r="F138" s="193"/>
      <c r="G138" s="193"/>
      <c r="H138" s="193"/>
      <c r="I138" s="193"/>
      <c r="J138" s="193"/>
      <c r="K138" s="198"/>
      <c r="L138" s="28"/>
      <c r="M138" s="29"/>
    </row>
    <row r="139" spans="1:13" s="21" customFormat="1" ht="190.5" customHeight="1">
      <c r="A139" s="169"/>
      <c r="B139" s="208" t="s">
        <v>444</v>
      </c>
      <c r="C139" s="173">
        <f t="shared" si="10"/>
        <v>21494.7</v>
      </c>
      <c r="D139" s="173"/>
      <c r="E139" s="173"/>
      <c r="F139" s="173">
        <v>21494.7</v>
      </c>
      <c r="G139" s="173"/>
      <c r="H139" s="173"/>
      <c r="I139" s="173"/>
      <c r="J139" s="173"/>
      <c r="K139" s="197">
        <f t="shared" si="11"/>
        <v>21494.7</v>
      </c>
      <c r="L139" s="28"/>
      <c r="M139" s="29"/>
    </row>
    <row r="140" spans="1:13" s="21" customFormat="1" ht="25.5">
      <c r="A140" s="70" t="s">
        <v>168</v>
      </c>
      <c r="B140" s="20" t="s">
        <v>267</v>
      </c>
      <c r="C140" s="30">
        <f t="shared" si="10"/>
        <v>7136.8</v>
      </c>
      <c r="D140" s="30"/>
      <c r="E140" s="30"/>
      <c r="F140" s="30">
        <v>7136.8</v>
      </c>
      <c r="G140" s="30"/>
      <c r="H140" s="30"/>
      <c r="I140" s="30"/>
      <c r="J140" s="30"/>
      <c r="K140" s="65">
        <f t="shared" si="11"/>
        <v>7136.8</v>
      </c>
      <c r="L140" s="28"/>
      <c r="M140" s="29"/>
    </row>
    <row r="141" spans="1:12" s="21" customFormat="1" ht="55.5" customHeight="1" hidden="1">
      <c r="A141" s="70" t="s">
        <v>339</v>
      </c>
      <c r="B141" s="71" t="s">
        <v>340</v>
      </c>
      <c r="C141" s="30">
        <f t="shared" si="10"/>
        <v>0</v>
      </c>
      <c r="D141" s="30"/>
      <c r="E141" s="30"/>
      <c r="F141" s="30"/>
      <c r="G141" s="30"/>
      <c r="H141" s="30"/>
      <c r="I141" s="30"/>
      <c r="J141" s="30"/>
      <c r="K141" s="73">
        <f t="shared" si="11"/>
        <v>0</v>
      </c>
      <c r="L141" s="23"/>
    </row>
    <row r="142" spans="1:12" s="21" customFormat="1" ht="94.5" customHeight="1" hidden="1">
      <c r="A142" s="70" t="s">
        <v>341</v>
      </c>
      <c r="B142" s="71" t="s">
        <v>342</v>
      </c>
      <c r="C142" s="30">
        <f t="shared" si="10"/>
        <v>0</v>
      </c>
      <c r="D142" s="30"/>
      <c r="E142" s="30"/>
      <c r="F142" s="30"/>
      <c r="G142" s="30"/>
      <c r="H142" s="30"/>
      <c r="I142" s="30"/>
      <c r="J142" s="30"/>
      <c r="K142" s="73">
        <f t="shared" si="11"/>
        <v>0</v>
      </c>
      <c r="L142" s="23"/>
    </row>
    <row r="143" spans="1:12" s="21" customFormat="1" ht="12.75">
      <c r="A143" s="70" t="s">
        <v>343</v>
      </c>
      <c r="B143" s="71" t="s">
        <v>262</v>
      </c>
      <c r="C143" s="30">
        <f t="shared" si="10"/>
        <v>2200</v>
      </c>
      <c r="D143" s="30"/>
      <c r="E143" s="30"/>
      <c r="F143" s="30">
        <f>1200+1000</f>
        <v>2200</v>
      </c>
      <c r="G143" s="30"/>
      <c r="H143" s="30"/>
      <c r="I143" s="30"/>
      <c r="J143" s="30"/>
      <c r="K143" s="73">
        <f t="shared" si="11"/>
        <v>2200</v>
      </c>
      <c r="L143" s="23"/>
    </row>
    <row r="144" spans="1:12" s="21" customFormat="1" ht="88.5" customHeight="1" hidden="1">
      <c r="A144" s="70" t="s">
        <v>328</v>
      </c>
      <c r="B144" s="46" t="s">
        <v>329</v>
      </c>
      <c r="C144" s="30">
        <f t="shared" si="10"/>
        <v>0</v>
      </c>
      <c r="D144" s="30"/>
      <c r="E144" s="30"/>
      <c r="F144" s="30"/>
      <c r="G144" s="30"/>
      <c r="H144" s="30"/>
      <c r="I144" s="30"/>
      <c r="J144" s="30"/>
      <c r="K144" s="73">
        <f t="shared" si="11"/>
        <v>0</v>
      </c>
      <c r="L144" s="23"/>
    </row>
    <row r="145" spans="1:12" s="21" customFormat="1" ht="25.5" hidden="1">
      <c r="A145" s="70" t="s">
        <v>344</v>
      </c>
      <c r="B145" s="71" t="s">
        <v>383</v>
      </c>
      <c r="C145" s="30">
        <f t="shared" si="10"/>
        <v>0</v>
      </c>
      <c r="D145" s="30"/>
      <c r="E145" s="30"/>
      <c r="F145" s="30"/>
      <c r="G145" s="30"/>
      <c r="H145" s="30"/>
      <c r="I145" s="30"/>
      <c r="J145" s="30"/>
      <c r="K145" s="73">
        <f t="shared" si="11"/>
        <v>0</v>
      </c>
      <c r="L145" s="23"/>
    </row>
    <row r="146" spans="1:12" s="21" customFormat="1" ht="67.5" customHeight="1" hidden="1">
      <c r="A146" s="70" t="s">
        <v>346</v>
      </c>
      <c r="B146" s="71" t="s">
        <v>347</v>
      </c>
      <c r="C146" s="30">
        <f t="shared" si="10"/>
        <v>0</v>
      </c>
      <c r="D146" s="30"/>
      <c r="E146" s="30"/>
      <c r="F146" s="30"/>
      <c r="G146" s="30"/>
      <c r="H146" s="30"/>
      <c r="I146" s="30"/>
      <c r="J146" s="30"/>
      <c r="K146" s="73">
        <f t="shared" si="11"/>
        <v>0</v>
      </c>
      <c r="L146" s="23"/>
    </row>
    <row r="147" spans="1:12" s="21" customFormat="1" ht="12.75" hidden="1">
      <c r="A147" s="70" t="s">
        <v>384</v>
      </c>
      <c r="B147" s="71" t="s">
        <v>149</v>
      </c>
      <c r="C147" s="30">
        <f t="shared" si="10"/>
        <v>0</v>
      </c>
      <c r="D147" s="30"/>
      <c r="E147" s="30"/>
      <c r="F147" s="30"/>
      <c r="G147" s="30"/>
      <c r="H147" s="30"/>
      <c r="I147" s="30"/>
      <c r="J147" s="30"/>
      <c r="K147" s="73">
        <f t="shared" si="11"/>
        <v>0</v>
      </c>
      <c r="L147" s="23"/>
    </row>
    <row r="148" spans="1:59" s="21" customFormat="1" ht="14.25" customHeight="1" thickBot="1">
      <c r="A148" s="337" t="s">
        <v>140</v>
      </c>
      <c r="B148" s="338"/>
      <c r="C148" s="100">
        <f>C15+C30+C35+C43+C57+C60+C74+C78+C87+C92+C105+C107+C117+C109+C96+C113+C72+C115</f>
        <v>1156924.7000000002</v>
      </c>
      <c r="D148" s="100">
        <f>D15+D30+D35+D43+D57+D60+D74+D78+D87+D92+D105+D107+D117+D109+D96+D113+D72</f>
        <v>201199.70000000004</v>
      </c>
      <c r="E148" s="100">
        <f>E15+E30+E35+E43+E57+E60+E74+E78+E87+E92+E105+E107+E117+E109+E96+E113+E72</f>
        <v>39898.5</v>
      </c>
      <c r="F148" s="100">
        <f>F15+F30+F35+F43+F57+F60+F74+F78+F87+F92+F105+F107+F117+F109+F96+F113+F72+F115</f>
        <v>907571.8</v>
      </c>
      <c r="G148" s="100">
        <f>G15+G30+G35+G43+G57+G60+G74+G78+G87+G92+G105+G107+G117+G109+G96+G113+G72</f>
        <v>8254.7</v>
      </c>
      <c r="H148" s="100">
        <f>H15+H30+H35+H43+H57+H60+H74+H78+H87+H92+H105+H107+H117+H109+H96+H113+H72</f>
        <v>158423.5</v>
      </c>
      <c r="I148" s="100">
        <f>I15+I30+I35+I43+I57+I60+I74+I78+I87+I92+I105+I107+I117+I109+I96+I113+I72</f>
        <v>54953.9</v>
      </c>
      <c r="J148" s="100">
        <f>J15+J30+J35+J43+J57+J60+J74+J78+J87+J92+J105+J107+J117+J109+J96+J113+J72</f>
        <v>0</v>
      </c>
      <c r="K148" s="253">
        <f>K15+K30+K35+K43+K57+K60+K74+K78+K87+K92+K105+K107+K117+K109+K96+K113+K72+K115</f>
        <v>1315348.2000000002</v>
      </c>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row>
    <row r="149" spans="1:59" s="8" customFormat="1" ht="12.75">
      <c r="A149" s="101"/>
      <c r="B149" s="102"/>
      <c r="C149" s="28"/>
      <c r="D149" s="28"/>
      <c r="E149" s="28"/>
      <c r="F149" s="28"/>
      <c r="G149" s="28"/>
      <c r="H149" s="28"/>
      <c r="I149" s="28"/>
      <c r="J149" s="28"/>
      <c r="K149" s="28"/>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row>
    <row r="150" spans="3:12" ht="12.75">
      <c r="C150" s="32">
        <f>'№2'!C99-'№3 '!C148</f>
        <v>0</v>
      </c>
      <c r="D150" s="32">
        <f>'№2'!D99-'№3 '!D148</f>
        <v>0</v>
      </c>
      <c r="E150" s="32">
        <f>'№2'!E99-'№3 '!E148</f>
        <v>0</v>
      </c>
      <c r="F150" s="32">
        <f>'№2'!F99-'№3 '!F148</f>
        <v>0</v>
      </c>
      <c r="G150" s="32">
        <f>'№2'!G99-'№3 '!G148</f>
        <v>0</v>
      </c>
      <c r="H150" s="32">
        <f>'№2'!H99-'№3 '!H148</f>
        <v>0</v>
      </c>
      <c r="I150" s="32">
        <f>'№2'!I99-'№3 '!I148</f>
        <v>0</v>
      </c>
      <c r="J150" s="32">
        <f>'№2'!J99-'№3 '!J148</f>
        <v>0</v>
      </c>
      <c r="K150" s="32">
        <f>'№2'!K99-'№3 '!K148</f>
        <v>0</v>
      </c>
      <c r="L150" s="3"/>
    </row>
    <row r="151" spans="3:12" ht="12.75">
      <c r="C151" s="32"/>
      <c r="D151" s="32"/>
      <c r="E151" s="32"/>
      <c r="F151" s="32"/>
      <c r="G151" s="32"/>
      <c r="H151" s="32"/>
      <c r="I151" s="32"/>
      <c r="J151" s="32"/>
      <c r="K151" s="32"/>
      <c r="L151" s="3"/>
    </row>
    <row r="152" spans="2:11" ht="12.75">
      <c r="B152" s="248" t="s">
        <v>60</v>
      </c>
      <c r="C152" s="32">
        <f>'№2'!C99</f>
        <v>1156924.7000000002</v>
      </c>
      <c r="D152" s="32">
        <f>'№2'!D99</f>
        <v>201199.7</v>
      </c>
      <c r="E152" s="32">
        <f>'№2'!E99</f>
        <v>39898.5</v>
      </c>
      <c r="F152" s="32">
        <f>'№2'!F99</f>
        <v>907571.8</v>
      </c>
      <c r="G152" s="32">
        <f>'№2'!G99</f>
        <v>8254.7</v>
      </c>
      <c r="H152" s="32">
        <f>'№2'!H99</f>
        <v>158423.5</v>
      </c>
      <c r="I152" s="32">
        <f>'№2'!I99</f>
        <v>54953.9</v>
      </c>
      <c r="J152" s="32">
        <f>'№2'!J99</f>
        <v>0</v>
      </c>
      <c r="K152" s="32">
        <f>'№2'!K99</f>
        <v>1315348.2000000002</v>
      </c>
    </row>
    <row r="153" spans="3:11" ht="15">
      <c r="C153" s="41"/>
      <c r="F153" s="103"/>
      <c r="I153" s="32"/>
      <c r="K153" s="32"/>
    </row>
    <row r="154" spans="3:11" ht="12.75">
      <c r="C154" s="43">
        <f>C148-C152</f>
        <v>0</v>
      </c>
      <c r="D154" s="43">
        <f aca="true" t="shared" si="12" ref="D154:K154">D148-D152</f>
        <v>0</v>
      </c>
      <c r="E154" s="43">
        <f t="shared" si="12"/>
        <v>0</v>
      </c>
      <c r="F154" s="43">
        <f t="shared" si="12"/>
        <v>0</v>
      </c>
      <c r="G154" s="43">
        <f t="shared" si="12"/>
        <v>0</v>
      </c>
      <c r="H154" s="43">
        <f t="shared" si="12"/>
        <v>0</v>
      </c>
      <c r="I154" s="43">
        <f t="shared" si="12"/>
        <v>0</v>
      </c>
      <c r="J154" s="43">
        <f t="shared" si="12"/>
        <v>0</v>
      </c>
      <c r="K154" s="43">
        <f t="shared" si="12"/>
        <v>0</v>
      </c>
    </row>
    <row r="155" spans="3:11" ht="12.75">
      <c r="C155" s="41"/>
      <c r="D155" s="32"/>
      <c r="E155" s="32"/>
      <c r="F155" s="32"/>
      <c r="G155" s="32"/>
      <c r="H155" s="32"/>
      <c r="I155" s="32"/>
      <c r="J155" s="32"/>
      <c r="K155" s="32"/>
    </row>
    <row r="156" spans="2:12" ht="12.75">
      <c r="B156" s="248" t="s">
        <v>59</v>
      </c>
      <c r="C156" s="88">
        <f>'№1'!C75</f>
        <v>1096269.6</v>
      </c>
      <c r="D156" s="88"/>
      <c r="E156" s="88"/>
      <c r="F156" s="88"/>
      <c r="G156" s="88"/>
      <c r="H156" s="88">
        <f>'№1'!D75</f>
        <v>158423.5</v>
      </c>
      <c r="I156" s="88">
        <f>'№2'!I99</f>
        <v>54953.9</v>
      </c>
      <c r="J156" s="88"/>
      <c r="K156" s="88">
        <f>'№1'!F75</f>
        <v>1254693.1</v>
      </c>
      <c r="L156" s="94"/>
    </row>
    <row r="157" spans="3:12" ht="12.75">
      <c r="C157" s="94"/>
      <c r="D157" s="32"/>
      <c r="E157" s="32"/>
      <c r="F157" s="32"/>
      <c r="G157" s="32"/>
      <c r="H157" s="32"/>
      <c r="I157" s="32"/>
      <c r="J157" s="32"/>
      <c r="K157" s="32"/>
      <c r="L157" s="94"/>
    </row>
    <row r="158" spans="3:11" ht="12.75">
      <c r="C158" s="41">
        <f>C156-C148</f>
        <v>-60655.10000000009</v>
      </c>
      <c r="D158" s="41"/>
      <c r="E158" s="41"/>
      <c r="F158" s="41"/>
      <c r="G158" s="41">
        <f>G156-G148</f>
        <v>-8254.7</v>
      </c>
      <c r="H158" s="41">
        <f>H156-H148</f>
        <v>0</v>
      </c>
      <c r="I158" s="41">
        <f>I156-I148</f>
        <v>0</v>
      </c>
      <c r="J158" s="41">
        <f>J156-J148</f>
        <v>0</v>
      </c>
      <c r="K158" s="41">
        <f>K156-K148</f>
        <v>-60655.10000000009</v>
      </c>
    </row>
    <row r="159" ht="12.75">
      <c r="C159" s="35"/>
    </row>
    <row r="160" spans="3:6" ht="12.75">
      <c r="C160" s="35"/>
      <c r="F160" s="33"/>
    </row>
    <row r="161" ht="12.75">
      <c r="C161" s="35"/>
    </row>
    <row r="162" ht="12.75">
      <c r="C162" s="35"/>
    </row>
    <row r="163" ht="12.75">
      <c r="C163" s="35"/>
    </row>
    <row r="164" ht="12.75">
      <c r="C164" s="35"/>
    </row>
    <row r="165" ht="12.75">
      <c r="C165" s="35"/>
    </row>
    <row r="166" ht="12.75">
      <c r="C166" s="35"/>
    </row>
    <row r="167" ht="12.75">
      <c r="C167" s="35"/>
    </row>
    <row r="168" ht="12.75">
      <c r="C168" s="35"/>
    </row>
    <row r="169" ht="12.75">
      <c r="C169" s="35"/>
    </row>
    <row r="170" ht="12.75">
      <c r="C170" s="35"/>
    </row>
    <row r="171" ht="12.75">
      <c r="C171" s="35"/>
    </row>
    <row r="172" ht="12.75">
      <c r="C172" s="35"/>
    </row>
    <row r="173" ht="12.75">
      <c r="C173" s="35"/>
    </row>
    <row r="174" ht="12.75">
      <c r="C174" s="35"/>
    </row>
    <row r="175" ht="12.75">
      <c r="C175" s="35"/>
    </row>
    <row r="176" ht="12.75">
      <c r="C176" s="35"/>
    </row>
    <row r="177" ht="12.75">
      <c r="C177" s="35"/>
    </row>
    <row r="178" ht="12.75">
      <c r="C178" s="35"/>
    </row>
    <row r="179" ht="12.75">
      <c r="C179" s="35"/>
    </row>
    <row r="180" ht="12.75">
      <c r="C180" s="35"/>
    </row>
    <row r="181" ht="12.75">
      <c r="C181" s="35"/>
    </row>
    <row r="182" ht="12.75">
      <c r="C182" s="35"/>
    </row>
    <row r="183" ht="12.75">
      <c r="C183" s="35"/>
    </row>
    <row r="184" ht="12.75">
      <c r="C184" s="35"/>
    </row>
    <row r="185" ht="12.75">
      <c r="C185" s="35"/>
    </row>
    <row r="186" ht="12.75">
      <c r="C186" s="35"/>
    </row>
    <row r="187" ht="12.75">
      <c r="C187" s="35"/>
    </row>
    <row r="188" ht="12.75">
      <c r="C188" s="35"/>
    </row>
    <row r="189" ht="12.75">
      <c r="C189" s="35"/>
    </row>
    <row r="190" ht="12.75">
      <c r="C190" s="35"/>
    </row>
    <row r="191" ht="12.75">
      <c r="C191" s="35"/>
    </row>
    <row r="192" ht="12.75">
      <c r="C192" s="35"/>
    </row>
    <row r="193" ht="12.75">
      <c r="C193" s="35"/>
    </row>
    <row r="194" ht="12.75">
      <c r="C194" s="35"/>
    </row>
    <row r="195" ht="12.75">
      <c r="C195" s="35"/>
    </row>
    <row r="196" ht="12.75">
      <c r="C196" s="35"/>
    </row>
    <row r="197" ht="12.75">
      <c r="C197" s="35"/>
    </row>
    <row r="198" ht="12.75">
      <c r="C198" s="35"/>
    </row>
    <row r="199" ht="12.75">
      <c r="C199" s="35"/>
    </row>
    <row r="200" ht="12.75">
      <c r="C200" s="35"/>
    </row>
    <row r="201" ht="12.75">
      <c r="C201" s="35"/>
    </row>
    <row r="202" ht="12.75">
      <c r="C202" s="35"/>
    </row>
    <row r="203" ht="12.75">
      <c r="C203" s="35"/>
    </row>
    <row r="204" ht="12.75">
      <c r="C204" s="35"/>
    </row>
    <row r="205" ht="12.75">
      <c r="C205" s="35"/>
    </row>
    <row r="206" ht="12.75">
      <c r="C206" s="35"/>
    </row>
    <row r="207" ht="12.75">
      <c r="C207" s="35"/>
    </row>
    <row r="208" ht="12.75">
      <c r="C208" s="35"/>
    </row>
    <row r="209" ht="12.75">
      <c r="C209" s="35"/>
    </row>
    <row r="210" ht="12.75">
      <c r="C210" s="35"/>
    </row>
    <row r="211" ht="12.75">
      <c r="C211" s="35"/>
    </row>
    <row r="212" ht="12.75">
      <c r="C212" s="35"/>
    </row>
    <row r="213" ht="12.75">
      <c r="C213" s="35"/>
    </row>
    <row r="214" ht="12.75">
      <c r="C214" s="35"/>
    </row>
    <row r="215" ht="12.75">
      <c r="C215" s="35"/>
    </row>
    <row r="216" ht="12.75">
      <c r="C216" s="35"/>
    </row>
    <row r="217" ht="12.75">
      <c r="C217" s="35"/>
    </row>
    <row r="218" ht="12.75">
      <c r="C218" s="35"/>
    </row>
    <row r="219" ht="12.75">
      <c r="C219" s="35"/>
    </row>
    <row r="220" ht="12.75">
      <c r="C220" s="35"/>
    </row>
    <row r="221" ht="12.75">
      <c r="C221" s="35"/>
    </row>
    <row r="222" ht="12.75">
      <c r="C222" s="35"/>
    </row>
    <row r="223" ht="12.75">
      <c r="C223" s="35"/>
    </row>
    <row r="224" ht="12.75">
      <c r="C224" s="35"/>
    </row>
    <row r="225" ht="12.75">
      <c r="C225" s="35"/>
    </row>
    <row r="226" ht="12.75">
      <c r="C226" s="35"/>
    </row>
    <row r="227" ht="12.75">
      <c r="C227" s="35"/>
    </row>
    <row r="228" ht="12.75">
      <c r="C228" s="35"/>
    </row>
    <row r="229" ht="12.75">
      <c r="C229" s="35"/>
    </row>
    <row r="230" ht="12.75">
      <c r="C230" s="35"/>
    </row>
    <row r="231" ht="12.75">
      <c r="C231" s="35"/>
    </row>
    <row r="232" ht="12.75">
      <c r="C232" s="35"/>
    </row>
    <row r="233" ht="12.75">
      <c r="C233" s="35"/>
    </row>
    <row r="234" ht="12.75">
      <c r="C234" s="35"/>
    </row>
    <row r="235" ht="12.75">
      <c r="C235" s="35"/>
    </row>
    <row r="236" ht="12.75">
      <c r="C236" s="35"/>
    </row>
    <row r="237" ht="12.75">
      <c r="C237" s="35"/>
    </row>
    <row r="238" ht="12.75">
      <c r="C238" s="35"/>
    </row>
    <row r="239" ht="12.75">
      <c r="C239" s="35"/>
    </row>
    <row r="240" ht="12.75">
      <c r="C240" s="35"/>
    </row>
    <row r="241" ht="12.75">
      <c r="C241" s="35"/>
    </row>
    <row r="242" ht="12.75">
      <c r="C242" s="35"/>
    </row>
    <row r="243" ht="12.75">
      <c r="C243" s="35"/>
    </row>
    <row r="244" ht="12.75">
      <c r="C244" s="35"/>
    </row>
    <row r="245" ht="12.75">
      <c r="C245" s="35"/>
    </row>
    <row r="246" ht="12.75">
      <c r="C246" s="35"/>
    </row>
    <row r="247" ht="12.75">
      <c r="C247" s="35"/>
    </row>
    <row r="248" ht="12.75">
      <c r="C248" s="35"/>
    </row>
    <row r="249" ht="12.75">
      <c r="C249" s="35"/>
    </row>
    <row r="250" ht="12.75">
      <c r="C250" s="35"/>
    </row>
    <row r="251" ht="12.75">
      <c r="C251" s="35"/>
    </row>
    <row r="252" ht="12.75">
      <c r="C252" s="35"/>
    </row>
    <row r="253" ht="12.75">
      <c r="C253" s="35"/>
    </row>
    <row r="254" ht="12.75">
      <c r="C254" s="35"/>
    </row>
    <row r="255" ht="12.75">
      <c r="C255" s="35"/>
    </row>
    <row r="256" ht="12.75">
      <c r="C256" s="35"/>
    </row>
    <row r="257" ht="12.75">
      <c r="C257" s="35"/>
    </row>
    <row r="258" ht="12.75">
      <c r="C258" s="35"/>
    </row>
    <row r="259" ht="12.75">
      <c r="C259" s="35"/>
    </row>
    <row r="260" ht="12.75">
      <c r="C260" s="35"/>
    </row>
    <row r="261" ht="12.75">
      <c r="C261" s="35"/>
    </row>
    <row r="262" ht="12.75">
      <c r="C262" s="35"/>
    </row>
    <row r="263" ht="12.75">
      <c r="C263" s="35"/>
    </row>
    <row r="264" ht="12.75">
      <c r="C264" s="35"/>
    </row>
    <row r="265" ht="12.75">
      <c r="C265" s="35"/>
    </row>
    <row r="266" ht="12.75">
      <c r="C266" s="35"/>
    </row>
    <row r="267" ht="12.75">
      <c r="C267" s="35"/>
    </row>
    <row r="268" ht="12.75">
      <c r="C268" s="35"/>
    </row>
    <row r="269" ht="12.75">
      <c r="C269" s="35"/>
    </row>
    <row r="270" ht="12.75">
      <c r="C270" s="35"/>
    </row>
    <row r="271" ht="12.75">
      <c r="C271" s="35"/>
    </row>
    <row r="272" ht="12.75">
      <c r="C272" s="35"/>
    </row>
    <row r="273" ht="12.75">
      <c r="C273" s="35"/>
    </row>
    <row r="274" ht="12.75">
      <c r="C274" s="35"/>
    </row>
    <row r="275" ht="12.75">
      <c r="C275" s="35"/>
    </row>
  </sheetData>
  <mergeCells count="25">
    <mergeCell ref="K135:K136"/>
    <mergeCell ref="A148:B148"/>
    <mergeCell ref="J12:J13"/>
    <mergeCell ref="C135:C136"/>
    <mergeCell ref="D135:D136"/>
    <mergeCell ref="E135:E136"/>
    <mergeCell ref="F135:F136"/>
    <mergeCell ref="G135:G136"/>
    <mergeCell ref="H135:H136"/>
    <mergeCell ref="I135:I136"/>
    <mergeCell ref="J135:J136"/>
    <mergeCell ref="A9:K9"/>
    <mergeCell ref="H10:K10"/>
    <mergeCell ref="A11:A13"/>
    <mergeCell ref="B11:B13"/>
    <mergeCell ref="C11:G11"/>
    <mergeCell ref="H11:J11"/>
    <mergeCell ref="K11:K13"/>
    <mergeCell ref="C12:C13"/>
    <mergeCell ref="D12:G12"/>
    <mergeCell ref="H12:H13"/>
    <mergeCell ref="F1:K1"/>
    <mergeCell ref="H4:K4"/>
    <mergeCell ref="H6:K6"/>
    <mergeCell ref="A8:K8"/>
  </mergeCells>
  <printOptions/>
  <pageMargins left="0.7480314960629921" right="0.1968503937007874" top="0.2755905511811024" bottom="0.2362204724409449" header="0.2755905511811024" footer="0.11811023622047245"/>
  <pageSetup horizontalDpi="600" verticalDpi="600" orientation="portrait" paperSize="9" scale="63" r:id="rId1"/>
  <rowBreaks count="1" manualBreakCount="1">
    <brk id="148" max="10" man="1"/>
  </rowBreaks>
</worksheet>
</file>

<file path=xl/worksheets/sheet4.xml><?xml version="1.0" encoding="utf-8"?>
<worksheet xmlns="http://schemas.openxmlformats.org/spreadsheetml/2006/main" xmlns:r="http://schemas.openxmlformats.org/officeDocument/2006/relationships">
  <dimension ref="A1:AG187"/>
  <sheetViews>
    <sheetView view="pageBreakPreview" zoomScale="50" zoomScaleNormal="75" zoomScaleSheetLayoutView="50" workbookViewId="0" topLeftCell="A1">
      <selection activeCell="A4" sqref="A4:J5"/>
    </sheetView>
  </sheetViews>
  <sheetFormatPr defaultColWidth="9.00390625" defaultRowHeight="12.75"/>
  <cols>
    <col min="1" max="1" width="18.125" style="3" customWidth="1"/>
    <col min="2" max="2" width="12.375" style="3" customWidth="1"/>
    <col min="3" max="3" width="66.375" style="3" customWidth="1"/>
    <col min="4" max="4" width="64.375" style="3" customWidth="1"/>
    <col min="5" max="5" width="31.875" style="3" customWidth="1"/>
    <col min="6" max="6" width="12.375" style="3" customWidth="1"/>
    <col min="7" max="7" width="9.375" style="3" customWidth="1"/>
    <col min="8" max="8" width="8.875" style="3" customWidth="1"/>
    <col min="9" max="9" width="9.875" style="3" customWidth="1"/>
    <col min="10" max="10" width="16.375" style="3" customWidth="1"/>
    <col min="11" max="11" width="10.875" style="3" customWidth="1"/>
    <col min="12" max="12" width="9.375" style="3" customWidth="1"/>
    <col min="13" max="13" width="13.375" style="7" customWidth="1"/>
    <col min="14" max="14" width="14.00390625" style="133" customWidth="1"/>
    <col min="15" max="16384" width="9.125" style="3" customWidth="1"/>
  </cols>
  <sheetData>
    <row r="1" spans="13:14" ht="15.75">
      <c r="M1" s="344" t="s">
        <v>422</v>
      </c>
      <c r="N1" s="344"/>
    </row>
    <row r="2" spans="13:14" ht="15.75">
      <c r="M2" s="344" t="s">
        <v>77</v>
      </c>
      <c r="N2" s="344"/>
    </row>
    <row r="3" spans="13:14" ht="15.75">
      <c r="M3" s="344" t="s">
        <v>2</v>
      </c>
      <c r="N3" s="344"/>
    </row>
    <row r="4" spans="1:12" ht="15" customHeight="1">
      <c r="A4" s="355" t="s">
        <v>75</v>
      </c>
      <c r="B4" s="355"/>
      <c r="C4" s="355"/>
      <c r="D4" s="355"/>
      <c r="E4" s="355"/>
      <c r="F4" s="355"/>
      <c r="G4" s="355"/>
      <c r="H4" s="355"/>
      <c r="I4" s="355"/>
      <c r="J4" s="355"/>
      <c r="K4" s="134"/>
      <c r="L4" s="134"/>
    </row>
    <row r="5" spans="1:12" ht="15" customHeight="1">
      <c r="A5" s="355"/>
      <c r="B5" s="355"/>
      <c r="C5" s="355"/>
      <c r="D5" s="355"/>
      <c r="E5" s="355"/>
      <c r="F5" s="355"/>
      <c r="G5" s="355"/>
      <c r="H5" s="355"/>
      <c r="I5" s="355"/>
      <c r="J5" s="355"/>
      <c r="K5" s="134"/>
      <c r="L5" s="134"/>
    </row>
    <row r="6" spans="1:14" ht="12.75" customHeight="1" thickBot="1">
      <c r="A6" s="135"/>
      <c r="B6" s="135"/>
      <c r="C6" s="135"/>
      <c r="D6" s="135"/>
      <c r="E6" s="135"/>
      <c r="F6" s="135"/>
      <c r="G6" s="135"/>
      <c r="H6" s="135"/>
      <c r="I6" s="135"/>
      <c r="J6" s="135"/>
      <c r="L6" s="136" t="s">
        <v>263</v>
      </c>
      <c r="N6" s="136" t="s">
        <v>263</v>
      </c>
    </row>
    <row r="7" spans="1:14" ht="12.75" customHeight="1" thickBot="1">
      <c r="A7" s="349" t="s">
        <v>423</v>
      </c>
      <c r="B7" s="351" t="s">
        <v>169</v>
      </c>
      <c r="C7" s="352"/>
      <c r="D7" s="351"/>
      <c r="E7" s="351"/>
      <c r="F7" s="351"/>
      <c r="G7" s="351"/>
      <c r="H7" s="351"/>
      <c r="I7" s="351"/>
      <c r="J7" s="351"/>
      <c r="K7" s="346" t="s">
        <v>424</v>
      </c>
      <c r="L7" s="346" t="s">
        <v>425</v>
      </c>
      <c r="M7" s="167"/>
      <c r="N7" s="341" t="s">
        <v>426</v>
      </c>
    </row>
    <row r="8" spans="1:14" s="137" customFormat="1" ht="16.5" customHeight="1" thickBot="1">
      <c r="A8" s="345"/>
      <c r="B8" s="346" t="s">
        <v>435</v>
      </c>
      <c r="C8" s="346" t="s">
        <v>438</v>
      </c>
      <c r="D8" s="346" t="s">
        <v>438</v>
      </c>
      <c r="E8" s="346" t="s">
        <v>445</v>
      </c>
      <c r="F8" s="353" t="s">
        <v>170</v>
      </c>
      <c r="G8" s="353"/>
      <c r="H8" s="353"/>
      <c r="I8" s="353"/>
      <c r="J8" s="354"/>
      <c r="K8" s="347"/>
      <c r="L8" s="347"/>
      <c r="M8" s="345" t="s">
        <v>427</v>
      </c>
      <c r="N8" s="342"/>
    </row>
    <row r="9" spans="1:14" s="137" customFormat="1" ht="104.25" customHeight="1" thickBot="1">
      <c r="A9" s="345"/>
      <c r="B9" s="347"/>
      <c r="C9" s="347"/>
      <c r="D9" s="347"/>
      <c r="E9" s="347"/>
      <c r="F9" s="346" t="s">
        <v>171</v>
      </c>
      <c r="G9" s="346" t="s">
        <v>172</v>
      </c>
      <c r="H9" s="353" t="s">
        <v>428</v>
      </c>
      <c r="I9" s="353"/>
      <c r="J9" s="346" t="s">
        <v>429</v>
      </c>
      <c r="K9" s="347"/>
      <c r="L9" s="347"/>
      <c r="M9" s="345"/>
      <c r="N9" s="342"/>
    </row>
    <row r="10" spans="1:14" s="137" customFormat="1" ht="192" customHeight="1">
      <c r="A10" s="345"/>
      <c r="B10" s="347"/>
      <c r="C10" s="170" t="s">
        <v>439</v>
      </c>
      <c r="D10" s="170" t="s">
        <v>441</v>
      </c>
      <c r="E10" s="347"/>
      <c r="F10" s="347"/>
      <c r="G10" s="347"/>
      <c r="H10" s="346" t="s">
        <v>173</v>
      </c>
      <c r="I10" s="346" t="s">
        <v>174</v>
      </c>
      <c r="J10" s="347"/>
      <c r="K10" s="347"/>
      <c r="L10" s="347"/>
      <c r="M10" s="345"/>
      <c r="N10" s="342"/>
    </row>
    <row r="11" spans="1:14" s="137" customFormat="1" ht="31.5" customHeight="1" thickBot="1">
      <c r="A11" s="350"/>
      <c r="B11" s="348"/>
      <c r="C11" s="171" t="s">
        <v>440</v>
      </c>
      <c r="D11" s="171" t="s">
        <v>442</v>
      </c>
      <c r="E11" s="348"/>
      <c r="F11" s="348"/>
      <c r="G11" s="348"/>
      <c r="H11" s="348"/>
      <c r="I11" s="348"/>
      <c r="J11" s="348"/>
      <c r="K11" s="348"/>
      <c r="L11" s="348"/>
      <c r="M11" s="138"/>
      <c r="N11" s="343"/>
    </row>
    <row r="12" spans="1:33" s="147" customFormat="1" ht="15.75">
      <c r="A12" s="139" t="s">
        <v>175</v>
      </c>
      <c r="B12" s="140">
        <v>881.7</v>
      </c>
      <c r="C12" s="141">
        <v>1280.6</v>
      </c>
      <c r="D12" s="140">
        <v>205.3</v>
      </c>
      <c r="E12" s="140">
        <f aca="true" t="shared" si="0" ref="E12:E19">G12+F12+I12+J12</f>
        <v>745.9999999999999</v>
      </c>
      <c r="F12" s="142">
        <v>543.9</v>
      </c>
      <c r="G12" s="142">
        <v>85.3</v>
      </c>
      <c r="H12" s="143"/>
      <c r="I12" s="142"/>
      <c r="J12" s="140">
        <v>116.8</v>
      </c>
      <c r="K12" s="144"/>
      <c r="L12" s="145"/>
      <c r="M12" s="142"/>
      <c r="N12" s="163">
        <f aca="true" t="shared" si="1" ref="N12:N57">B12+C12+D12+E12+K12+M12+L12</f>
        <v>3113.6000000000004</v>
      </c>
      <c r="O12" s="146"/>
      <c r="P12" s="146"/>
      <c r="Q12" s="146"/>
      <c r="R12" s="146"/>
      <c r="S12" s="146"/>
      <c r="T12" s="146"/>
      <c r="U12" s="146"/>
      <c r="V12" s="146"/>
      <c r="W12" s="146"/>
      <c r="X12" s="146"/>
      <c r="Y12" s="146"/>
      <c r="Z12" s="146"/>
      <c r="AA12" s="146"/>
      <c r="AB12" s="146"/>
      <c r="AC12" s="146"/>
      <c r="AD12" s="146"/>
      <c r="AE12" s="146"/>
      <c r="AF12" s="146"/>
      <c r="AG12" s="146"/>
    </row>
    <row r="13" spans="1:33" s="147" customFormat="1" ht="15.75">
      <c r="A13" s="148" t="s">
        <v>176</v>
      </c>
      <c r="B13" s="44">
        <v>3387.5</v>
      </c>
      <c r="C13" s="149">
        <v>8997.4</v>
      </c>
      <c r="D13" s="44">
        <v>401.4</v>
      </c>
      <c r="E13" s="140">
        <f t="shared" si="0"/>
        <v>2204.9</v>
      </c>
      <c r="F13" s="44">
        <v>1421.2</v>
      </c>
      <c r="G13" s="44">
        <v>507.2</v>
      </c>
      <c r="H13" s="150"/>
      <c r="I13" s="44"/>
      <c r="J13" s="44">
        <v>276.5</v>
      </c>
      <c r="K13" s="151"/>
      <c r="L13" s="152"/>
      <c r="M13" s="44"/>
      <c r="N13" s="164">
        <f t="shared" si="1"/>
        <v>14991.199999999999</v>
      </c>
      <c r="O13" s="146"/>
      <c r="P13" s="146"/>
      <c r="Q13" s="146"/>
      <c r="R13" s="146"/>
      <c r="S13" s="146"/>
      <c r="T13" s="146"/>
      <c r="U13" s="146"/>
      <c r="V13" s="146"/>
      <c r="W13" s="146"/>
      <c r="X13" s="146"/>
      <c r="Y13" s="146"/>
      <c r="Z13" s="146"/>
      <c r="AA13" s="146"/>
      <c r="AB13" s="146"/>
      <c r="AC13" s="146"/>
      <c r="AD13" s="146"/>
      <c r="AE13" s="146"/>
      <c r="AF13" s="146"/>
      <c r="AG13" s="146"/>
    </row>
    <row r="14" spans="1:33" s="147" customFormat="1" ht="15.75">
      <c r="A14" s="148" t="s">
        <v>177</v>
      </c>
      <c r="B14" s="44">
        <v>11309.4</v>
      </c>
      <c r="C14" s="149">
        <v>17152.5</v>
      </c>
      <c r="D14" s="44">
        <v>633.5</v>
      </c>
      <c r="E14" s="140">
        <f t="shared" si="0"/>
        <v>4757.5</v>
      </c>
      <c r="F14" s="44">
        <v>2919.5</v>
      </c>
      <c r="G14" s="44">
        <v>855</v>
      </c>
      <c r="H14" s="150"/>
      <c r="I14" s="44"/>
      <c r="J14" s="44">
        <v>983</v>
      </c>
      <c r="K14" s="151"/>
      <c r="L14" s="153">
        <v>524.8</v>
      </c>
      <c r="M14" s="44"/>
      <c r="N14" s="164">
        <f t="shared" si="1"/>
        <v>34377.700000000004</v>
      </c>
      <c r="O14" s="146"/>
      <c r="P14" s="146"/>
      <c r="Q14" s="146"/>
      <c r="R14" s="146"/>
      <c r="S14" s="146"/>
      <c r="T14" s="146"/>
      <c r="U14" s="146"/>
      <c r="V14" s="146"/>
      <c r="W14" s="146"/>
      <c r="X14" s="146"/>
      <c r="Y14" s="146"/>
      <c r="Z14" s="146"/>
      <c r="AA14" s="146"/>
      <c r="AB14" s="146"/>
      <c r="AC14" s="146"/>
      <c r="AD14" s="146"/>
      <c r="AE14" s="146"/>
      <c r="AF14" s="146"/>
      <c r="AG14" s="146"/>
    </row>
    <row r="15" spans="1:33" s="147" customFormat="1" ht="15.75">
      <c r="A15" s="148" t="s">
        <v>178</v>
      </c>
      <c r="B15" s="44">
        <v>2197.6</v>
      </c>
      <c r="C15" s="149">
        <v>2218.5</v>
      </c>
      <c r="D15" s="44">
        <v>506.5</v>
      </c>
      <c r="E15" s="140">
        <f t="shared" si="0"/>
        <v>585.7</v>
      </c>
      <c r="F15" s="44">
        <v>43.6</v>
      </c>
      <c r="G15" s="44">
        <v>143.6</v>
      </c>
      <c r="H15" s="150"/>
      <c r="I15" s="44">
        <v>118</v>
      </c>
      <c r="J15" s="44">
        <v>280.5</v>
      </c>
      <c r="K15" s="151"/>
      <c r="L15" s="152"/>
      <c r="M15" s="44"/>
      <c r="N15" s="164">
        <f t="shared" si="1"/>
        <v>5508.3</v>
      </c>
      <c r="O15" s="146"/>
      <c r="P15" s="146"/>
      <c r="Q15" s="146"/>
      <c r="R15" s="146"/>
      <c r="S15" s="146"/>
      <c r="T15" s="146"/>
      <c r="U15" s="146"/>
      <c r="V15" s="146"/>
      <c r="W15" s="146"/>
      <c r="X15" s="146"/>
      <c r="Y15" s="146"/>
      <c r="Z15" s="146"/>
      <c r="AA15" s="146"/>
      <c r="AB15" s="146"/>
      <c r="AC15" s="146"/>
      <c r="AD15" s="146"/>
      <c r="AE15" s="146"/>
      <c r="AF15" s="146"/>
      <c r="AG15" s="146"/>
    </row>
    <row r="16" spans="1:33" s="147" customFormat="1" ht="15.75">
      <c r="A16" s="148" t="s">
        <v>179</v>
      </c>
      <c r="B16" s="44">
        <v>2371.4</v>
      </c>
      <c r="C16" s="149">
        <v>3954.4</v>
      </c>
      <c r="D16" s="44">
        <v>209.1</v>
      </c>
      <c r="E16" s="140">
        <f t="shared" si="0"/>
        <v>914.8</v>
      </c>
      <c r="F16" s="44">
        <v>535.3</v>
      </c>
      <c r="G16" s="44">
        <v>132.5</v>
      </c>
      <c r="H16" s="150"/>
      <c r="I16" s="44"/>
      <c r="J16" s="44">
        <v>247</v>
      </c>
      <c r="K16" s="151"/>
      <c r="L16" s="152"/>
      <c r="M16" s="44"/>
      <c r="N16" s="164">
        <f t="shared" si="1"/>
        <v>7449.700000000001</v>
      </c>
      <c r="O16" s="146"/>
      <c r="P16" s="146"/>
      <c r="Q16" s="146"/>
      <c r="R16" s="146"/>
      <c r="S16" s="146"/>
      <c r="T16" s="146"/>
      <c r="U16" s="146"/>
      <c r="V16" s="146"/>
      <c r="W16" s="146"/>
      <c r="X16" s="146"/>
      <c r="Y16" s="146"/>
      <c r="Z16" s="146"/>
      <c r="AA16" s="146"/>
      <c r="AB16" s="146"/>
      <c r="AC16" s="146"/>
      <c r="AD16" s="146"/>
      <c r="AE16" s="146"/>
      <c r="AF16" s="146"/>
      <c r="AG16" s="146"/>
    </row>
    <row r="17" spans="1:33" s="147" customFormat="1" ht="15.75">
      <c r="A17" s="148" t="s">
        <v>180</v>
      </c>
      <c r="B17" s="44">
        <v>1588.6</v>
      </c>
      <c r="C17" s="149">
        <v>1391.2</v>
      </c>
      <c r="D17" s="44">
        <v>146.3</v>
      </c>
      <c r="E17" s="140">
        <f t="shared" si="0"/>
        <v>282.7</v>
      </c>
      <c r="F17" s="44">
        <v>78.7</v>
      </c>
      <c r="G17" s="44">
        <v>97</v>
      </c>
      <c r="H17" s="150"/>
      <c r="I17" s="44"/>
      <c r="J17" s="44">
        <v>107</v>
      </c>
      <c r="K17" s="151"/>
      <c r="L17" s="152"/>
      <c r="M17" s="44"/>
      <c r="N17" s="164">
        <f t="shared" si="1"/>
        <v>3408.8</v>
      </c>
      <c r="O17" s="146"/>
      <c r="P17" s="146"/>
      <c r="Q17" s="146"/>
      <c r="R17" s="146"/>
      <c r="S17" s="146"/>
      <c r="T17" s="146"/>
      <c r="U17" s="146"/>
      <c r="V17" s="146"/>
      <c r="W17" s="146"/>
      <c r="X17" s="146"/>
      <c r="Y17" s="146"/>
      <c r="Z17" s="146"/>
      <c r="AA17" s="146"/>
      <c r="AB17" s="146"/>
      <c r="AC17" s="146"/>
      <c r="AD17" s="146"/>
      <c r="AE17" s="146"/>
      <c r="AF17" s="146"/>
      <c r="AG17" s="146"/>
    </row>
    <row r="18" spans="1:33" s="147" customFormat="1" ht="15.75">
      <c r="A18" s="148" t="s">
        <v>181</v>
      </c>
      <c r="B18" s="44">
        <v>1900.3</v>
      </c>
      <c r="C18" s="149">
        <v>1443.6</v>
      </c>
      <c r="D18" s="44">
        <v>118.6</v>
      </c>
      <c r="E18" s="140">
        <f t="shared" si="0"/>
        <v>389.2</v>
      </c>
      <c r="F18" s="44">
        <v>119.7</v>
      </c>
      <c r="G18" s="44">
        <v>125.3</v>
      </c>
      <c r="H18" s="150"/>
      <c r="I18" s="44"/>
      <c r="J18" s="44">
        <v>144.2</v>
      </c>
      <c r="K18" s="151"/>
      <c r="L18" s="152"/>
      <c r="M18" s="44"/>
      <c r="N18" s="164">
        <f t="shared" si="1"/>
        <v>3851.6999999999994</v>
      </c>
      <c r="O18" s="146"/>
      <c r="P18" s="146"/>
      <c r="Q18" s="146"/>
      <c r="R18" s="146"/>
      <c r="S18" s="146"/>
      <c r="T18" s="146"/>
      <c r="U18" s="146"/>
      <c r="V18" s="146"/>
      <c r="W18" s="146"/>
      <c r="X18" s="146"/>
      <c r="Y18" s="146"/>
      <c r="Z18" s="146"/>
      <c r="AA18" s="146"/>
      <c r="AB18" s="146"/>
      <c r="AC18" s="146"/>
      <c r="AD18" s="146"/>
      <c r="AE18" s="146"/>
      <c r="AF18" s="146"/>
      <c r="AG18" s="146"/>
    </row>
    <row r="19" spans="1:33" s="147" customFormat="1" ht="15.75">
      <c r="A19" s="148" t="s">
        <v>182</v>
      </c>
      <c r="B19" s="44">
        <v>716.5</v>
      </c>
      <c r="C19" s="149">
        <v>2336</v>
      </c>
      <c r="D19" s="44">
        <v>12</v>
      </c>
      <c r="E19" s="140">
        <f t="shared" si="0"/>
        <v>263</v>
      </c>
      <c r="F19" s="44">
        <v>34.5</v>
      </c>
      <c r="G19" s="44">
        <v>109.4</v>
      </c>
      <c r="H19" s="150"/>
      <c r="I19" s="44"/>
      <c r="J19" s="44">
        <v>119.1</v>
      </c>
      <c r="K19" s="151"/>
      <c r="L19" s="152"/>
      <c r="M19" s="44"/>
      <c r="N19" s="164">
        <f t="shared" si="1"/>
        <v>3327.5</v>
      </c>
      <c r="O19" s="146"/>
      <c r="P19" s="146"/>
      <c r="Q19" s="146"/>
      <c r="R19" s="146"/>
      <c r="S19" s="146"/>
      <c r="T19" s="146"/>
      <c r="U19" s="146"/>
      <c r="V19" s="146"/>
      <c r="W19" s="146"/>
      <c r="X19" s="146"/>
      <c r="Y19" s="146"/>
      <c r="Z19" s="146"/>
      <c r="AA19" s="146"/>
      <c r="AB19" s="146"/>
      <c r="AC19" s="146"/>
      <c r="AD19" s="146"/>
      <c r="AE19" s="146"/>
      <c r="AF19" s="146"/>
      <c r="AG19" s="146"/>
    </row>
    <row r="20" spans="1:33" s="147" customFormat="1" ht="16.5" customHeight="1">
      <c r="A20" s="148" t="s">
        <v>183</v>
      </c>
      <c r="B20" s="44">
        <v>20245.6</v>
      </c>
      <c r="C20" s="149">
        <v>43044.6</v>
      </c>
      <c r="D20" s="44">
        <v>878.9</v>
      </c>
      <c r="E20" s="140">
        <f>G20+F20+I20+J20+H20</f>
        <v>25471.300000000003</v>
      </c>
      <c r="F20" s="44">
        <v>18691.9</v>
      </c>
      <c r="G20" s="44">
        <v>3428.6</v>
      </c>
      <c r="H20" s="149">
        <v>177.4</v>
      </c>
      <c r="I20" s="44"/>
      <c r="J20" s="44">
        <v>3173.4</v>
      </c>
      <c r="K20" s="151"/>
      <c r="L20" s="152"/>
      <c r="M20" s="44"/>
      <c r="N20" s="164">
        <f t="shared" si="1"/>
        <v>89640.4</v>
      </c>
      <c r="O20" s="146"/>
      <c r="P20" s="146"/>
      <c r="Q20" s="146"/>
      <c r="R20" s="146"/>
      <c r="S20" s="146"/>
      <c r="T20" s="146"/>
      <c r="U20" s="146"/>
      <c r="V20" s="146"/>
      <c r="W20" s="146"/>
      <c r="X20" s="146"/>
      <c r="Y20" s="146"/>
      <c r="Z20" s="146"/>
      <c r="AA20" s="146"/>
      <c r="AB20" s="146"/>
      <c r="AC20" s="146"/>
      <c r="AD20" s="146"/>
      <c r="AE20" s="146"/>
      <c r="AF20" s="146"/>
      <c r="AG20" s="146"/>
    </row>
    <row r="21" spans="1:33" s="147" customFormat="1" ht="15.75">
      <c r="A21" s="148" t="s">
        <v>184</v>
      </c>
      <c r="B21" s="44">
        <v>2799.6</v>
      </c>
      <c r="C21" s="149">
        <v>5605</v>
      </c>
      <c r="D21" s="44">
        <v>211.5</v>
      </c>
      <c r="E21" s="140">
        <f aca="true" t="shared" si="2" ref="E21:E56">G21+F21+I21+J21</f>
        <v>1824.1</v>
      </c>
      <c r="F21" s="44">
        <v>1251.9</v>
      </c>
      <c r="G21" s="44">
        <v>230.8</v>
      </c>
      <c r="H21" s="150"/>
      <c r="I21" s="44"/>
      <c r="J21" s="44">
        <v>341.4</v>
      </c>
      <c r="K21" s="151"/>
      <c r="L21" s="152"/>
      <c r="M21" s="44"/>
      <c r="N21" s="164">
        <f t="shared" si="1"/>
        <v>10440.2</v>
      </c>
      <c r="O21" s="146"/>
      <c r="P21" s="146"/>
      <c r="Q21" s="146"/>
      <c r="R21" s="146"/>
      <c r="S21" s="146"/>
      <c r="T21" s="146"/>
      <c r="U21" s="146"/>
      <c r="V21" s="146"/>
      <c r="W21" s="146"/>
      <c r="X21" s="146"/>
      <c r="Y21" s="146"/>
      <c r="Z21" s="146"/>
      <c r="AA21" s="146"/>
      <c r="AB21" s="146"/>
      <c r="AC21" s="146"/>
      <c r="AD21" s="146"/>
      <c r="AE21" s="146"/>
      <c r="AF21" s="146"/>
      <c r="AG21" s="146"/>
    </row>
    <row r="22" spans="1:33" s="147" customFormat="1" ht="15.75">
      <c r="A22" s="148" t="s">
        <v>185</v>
      </c>
      <c r="B22" s="44">
        <v>3816</v>
      </c>
      <c r="C22" s="149">
        <v>9121.9</v>
      </c>
      <c r="D22" s="44">
        <v>368.5</v>
      </c>
      <c r="E22" s="140">
        <f t="shared" si="2"/>
        <v>2797.3999999999996</v>
      </c>
      <c r="F22" s="44">
        <v>2074.7</v>
      </c>
      <c r="G22" s="44">
        <v>457.1</v>
      </c>
      <c r="H22" s="150"/>
      <c r="I22" s="44"/>
      <c r="J22" s="44">
        <v>265.6</v>
      </c>
      <c r="K22" s="151"/>
      <c r="L22" s="152"/>
      <c r="M22" s="44"/>
      <c r="N22" s="164">
        <f t="shared" si="1"/>
        <v>16103.8</v>
      </c>
      <c r="O22" s="146"/>
      <c r="P22" s="146"/>
      <c r="Q22" s="146"/>
      <c r="R22" s="146"/>
      <c r="S22" s="146"/>
      <c r="T22" s="146"/>
      <c r="U22" s="146"/>
      <c r="V22" s="146"/>
      <c r="W22" s="146"/>
      <c r="X22" s="146"/>
      <c r="Y22" s="146"/>
      <c r="Z22" s="146"/>
      <c r="AA22" s="146"/>
      <c r="AB22" s="146"/>
      <c r="AC22" s="146"/>
      <c r="AD22" s="146"/>
      <c r="AE22" s="146"/>
      <c r="AF22" s="146"/>
      <c r="AG22" s="146"/>
    </row>
    <row r="23" spans="1:33" s="147" customFormat="1" ht="15.75">
      <c r="A23" s="148" t="s">
        <v>186</v>
      </c>
      <c r="B23" s="44">
        <v>309.3</v>
      </c>
      <c r="C23" s="149">
        <v>555.8</v>
      </c>
      <c r="D23" s="44">
        <v>7.5</v>
      </c>
      <c r="E23" s="140">
        <f t="shared" si="2"/>
        <v>75.8</v>
      </c>
      <c r="F23" s="44">
        <v>20.9</v>
      </c>
      <c r="G23" s="44">
        <v>23</v>
      </c>
      <c r="H23" s="150"/>
      <c r="I23" s="44"/>
      <c r="J23" s="44">
        <v>31.9</v>
      </c>
      <c r="K23" s="44"/>
      <c r="L23" s="153"/>
      <c r="M23" s="44"/>
      <c r="N23" s="164">
        <f t="shared" si="1"/>
        <v>948.3999999999999</v>
      </c>
      <c r="O23" s="146"/>
      <c r="P23" s="146"/>
      <c r="Q23" s="146"/>
      <c r="R23" s="146"/>
      <c r="S23" s="146"/>
      <c r="T23" s="146"/>
      <c r="U23" s="146"/>
      <c r="V23" s="146"/>
      <c r="W23" s="146"/>
      <c r="X23" s="146"/>
      <c r="Y23" s="146"/>
      <c r="Z23" s="146"/>
      <c r="AA23" s="146"/>
      <c r="AB23" s="146"/>
      <c r="AC23" s="146"/>
      <c r="AD23" s="146"/>
      <c r="AE23" s="146"/>
      <c r="AF23" s="146"/>
      <c r="AG23" s="146"/>
    </row>
    <row r="24" spans="1:33" s="147" customFormat="1" ht="15.75">
      <c r="A24" s="148" t="s">
        <v>430</v>
      </c>
      <c r="B24" s="44">
        <v>631</v>
      </c>
      <c r="C24" s="149">
        <v>576.6</v>
      </c>
      <c r="D24" s="44">
        <v>13.2</v>
      </c>
      <c r="E24" s="140">
        <f t="shared" si="2"/>
        <v>94.1</v>
      </c>
      <c r="F24" s="44">
        <v>0</v>
      </c>
      <c r="G24" s="44">
        <v>49</v>
      </c>
      <c r="H24" s="150"/>
      <c r="I24" s="44"/>
      <c r="J24" s="44">
        <v>45.1</v>
      </c>
      <c r="K24" s="151"/>
      <c r="L24" s="152"/>
      <c r="M24" s="44"/>
      <c r="N24" s="164">
        <f t="shared" si="1"/>
        <v>1314.8999999999999</v>
      </c>
      <c r="O24" s="146"/>
      <c r="P24" s="146"/>
      <c r="Q24" s="146"/>
      <c r="R24" s="146"/>
      <c r="S24" s="146"/>
      <c r="T24" s="146"/>
      <c r="U24" s="146"/>
      <c r="V24" s="146"/>
      <c r="W24" s="146"/>
      <c r="X24" s="146"/>
      <c r="Y24" s="146"/>
      <c r="Z24" s="146"/>
      <c r="AA24" s="146"/>
      <c r="AB24" s="146"/>
      <c r="AC24" s="146"/>
      <c r="AD24" s="146"/>
      <c r="AE24" s="146"/>
      <c r="AF24" s="146"/>
      <c r="AG24" s="146"/>
    </row>
    <row r="25" spans="1:33" s="147" customFormat="1" ht="15.75">
      <c r="A25" s="148" t="s">
        <v>187</v>
      </c>
      <c r="B25" s="44">
        <v>3469.3</v>
      </c>
      <c r="C25" s="149">
        <v>7620.8</v>
      </c>
      <c r="D25" s="44">
        <v>71.2</v>
      </c>
      <c r="E25" s="140">
        <f t="shared" si="2"/>
        <v>912.8</v>
      </c>
      <c r="F25" s="44">
        <v>328.9</v>
      </c>
      <c r="G25" s="44">
        <v>300.9</v>
      </c>
      <c r="H25" s="150"/>
      <c r="I25" s="44"/>
      <c r="J25" s="44">
        <v>283</v>
      </c>
      <c r="K25" s="151"/>
      <c r="L25" s="152"/>
      <c r="M25" s="44"/>
      <c r="N25" s="164">
        <f t="shared" si="1"/>
        <v>12074.1</v>
      </c>
      <c r="O25" s="146"/>
      <c r="P25" s="146"/>
      <c r="Q25" s="146"/>
      <c r="R25" s="146"/>
      <c r="S25" s="146"/>
      <c r="T25" s="146"/>
      <c r="U25" s="146"/>
      <c r="V25" s="146"/>
      <c r="W25" s="146"/>
      <c r="X25" s="146"/>
      <c r="Y25" s="146"/>
      <c r="Z25" s="146"/>
      <c r="AA25" s="146"/>
      <c r="AB25" s="146"/>
      <c r="AC25" s="146"/>
      <c r="AD25" s="146"/>
      <c r="AE25" s="146"/>
      <c r="AF25" s="146"/>
      <c r="AG25" s="146"/>
    </row>
    <row r="26" spans="1:33" s="147" customFormat="1" ht="15.75">
      <c r="A26" s="148" t="s">
        <v>188</v>
      </c>
      <c r="B26" s="44">
        <v>7940.2</v>
      </c>
      <c r="C26" s="149">
        <v>14602.3</v>
      </c>
      <c r="D26" s="44">
        <v>363.3</v>
      </c>
      <c r="E26" s="140">
        <f t="shared" si="2"/>
        <v>8900.9</v>
      </c>
      <c r="F26" s="44">
        <v>7362.5</v>
      </c>
      <c r="G26" s="44">
        <v>866.9</v>
      </c>
      <c r="H26" s="150"/>
      <c r="I26" s="44"/>
      <c r="J26" s="44">
        <v>671.5</v>
      </c>
      <c r="K26" s="151"/>
      <c r="L26" s="152"/>
      <c r="M26" s="44"/>
      <c r="N26" s="164">
        <f t="shared" si="1"/>
        <v>31806.699999999997</v>
      </c>
      <c r="O26" s="146"/>
      <c r="P26" s="146"/>
      <c r="Q26" s="146"/>
      <c r="R26" s="146"/>
      <c r="S26" s="146"/>
      <c r="T26" s="146"/>
      <c r="U26" s="146"/>
      <c r="V26" s="146"/>
      <c r="W26" s="146"/>
      <c r="X26" s="146"/>
      <c r="Y26" s="146"/>
      <c r="Z26" s="146"/>
      <c r="AA26" s="146"/>
      <c r="AB26" s="146"/>
      <c r="AC26" s="146"/>
      <c r="AD26" s="146"/>
      <c r="AE26" s="146"/>
      <c r="AF26" s="146"/>
      <c r="AG26" s="146"/>
    </row>
    <row r="27" spans="1:33" s="147" customFormat="1" ht="15.75">
      <c r="A27" s="148" t="s">
        <v>189</v>
      </c>
      <c r="B27" s="44">
        <v>1748.5</v>
      </c>
      <c r="C27" s="149">
        <v>2728.2</v>
      </c>
      <c r="D27" s="44">
        <v>330</v>
      </c>
      <c r="E27" s="140">
        <f t="shared" si="2"/>
        <v>536.8</v>
      </c>
      <c r="F27" s="44">
        <v>109.1</v>
      </c>
      <c r="G27" s="44">
        <v>234.6</v>
      </c>
      <c r="H27" s="150"/>
      <c r="I27" s="44"/>
      <c r="J27" s="44">
        <v>193.1</v>
      </c>
      <c r="K27" s="151"/>
      <c r="L27" s="152"/>
      <c r="M27" s="44"/>
      <c r="N27" s="164">
        <f t="shared" si="1"/>
        <v>5343.5</v>
      </c>
      <c r="O27" s="146"/>
      <c r="P27" s="146"/>
      <c r="Q27" s="146"/>
      <c r="R27" s="146"/>
      <c r="S27" s="146"/>
      <c r="T27" s="146"/>
      <c r="U27" s="146"/>
      <c r="V27" s="146"/>
      <c r="W27" s="146"/>
      <c r="X27" s="146"/>
      <c r="Y27" s="146"/>
      <c r="Z27" s="146"/>
      <c r="AA27" s="146"/>
      <c r="AB27" s="146"/>
      <c r="AC27" s="146"/>
      <c r="AD27" s="146"/>
      <c r="AE27" s="146"/>
      <c r="AF27" s="146"/>
      <c r="AG27" s="146"/>
    </row>
    <row r="28" spans="1:33" s="147" customFormat="1" ht="15.75">
      <c r="A28" s="148" t="s">
        <v>190</v>
      </c>
      <c r="B28" s="44">
        <v>2549.1</v>
      </c>
      <c r="C28" s="149">
        <v>1643.8</v>
      </c>
      <c r="D28" s="44">
        <v>1258.7</v>
      </c>
      <c r="E28" s="140">
        <f t="shared" si="2"/>
        <v>1024</v>
      </c>
      <c r="F28" s="44">
        <v>56</v>
      </c>
      <c r="G28" s="44">
        <v>138.4</v>
      </c>
      <c r="H28" s="150"/>
      <c r="I28" s="44">
        <v>619.2</v>
      </c>
      <c r="J28" s="44">
        <v>210.4</v>
      </c>
      <c r="K28" s="151"/>
      <c r="L28" s="152"/>
      <c r="M28" s="44"/>
      <c r="N28" s="164">
        <f t="shared" si="1"/>
        <v>6475.599999999999</v>
      </c>
      <c r="O28" s="146"/>
      <c r="P28" s="146"/>
      <c r="Q28" s="146"/>
      <c r="R28" s="146"/>
      <c r="S28" s="146"/>
      <c r="T28" s="146"/>
      <c r="U28" s="146"/>
      <c r="V28" s="146"/>
      <c r="W28" s="146"/>
      <c r="X28" s="146"/>
      <c r="Y28" s="146"/>
      <c r="Z28" s="146"/>
      <c r="AA28" s="146"/>
      <c r="AB28" s="146"/>
      <c r="AC28" s="146"/>
      <c r="AD28" s="146"/>
      <c r="AE28" s="146"/>
      <c r="AF28" s="146"/>
      <c r="AG28" s="146"/>
    </row>
    <row r="29" spans="1:33" s="147" customFormat="1" ht="15.75">
      <c r="A29" s="148" t="s">
        <v>191</v>
      </c>
      <c r="B29" s="44">
        <v>11006.8</v>
      </c>
      <c r="C29" s="149">
        <v>18918</v>
      </c>
      <c r="D29" s="44">
        <v>686.7</v>
      </c>
      <c r="E29" s="140">
        <f t="shared" si="2"/>
        <v>3266.7999999999997</v>
      </c>
      <c r="F29" s="44">
        <v>1638.9</v>
      </c>
      <c r="G29" s="44">
        <v>698.8</v>
      </c>
      <c r="H29" s="150"/>
      <c r="I29" s="44"/>
      <c r="J29" s="44">
        <v>929.1</v>
      </c>
      <c r="K29" s="151"/>
      <c r="L29" s="152"/>
      <c r="M29" s="44"/>
      <c r="N29" s="164">
        <f t="shared" si="1"/>
        <v>33878.3</v>
      </c>
      <c r="O29" s="146"/>
      <c r="P29" s="146"/>
      <c r="Q29" s="146"/>
      <c r="R29" s="146"/>
      <c r="S29" s="146"/>
      <c r="T29" s="146"/>
      <c r="U29" s="146"/>
      <c r="V29" s="146"/>
      <c r="W29" s="146"/>
      <c r="X29" s="146"/>
      <c r="Y29" s="146"/>
      <c r="Z29" s="146"/>
      <c r="AA29" s="146"/>
      <c r="AB29" s="146"/>
      <c r="AC29" s="146"/>
      <c r="AD29" s="146"/>
      <c r="AE29" s="146"/>
      <c r="AF29" s="146"/>
      <c r="AG29" s="146"/>
    </row>
    <row r="30" spans="1:33" s="147" customFormat="1" ht="15.75">
      <c r="A30" s="148" t="s">
        <v>192</v>
      </c>
      <c r="B30" s="44">
        <v>9071.2</v>
      </c>
      <c r="C30" s="149">
        <v>21060.5</v>
      </c>
      <c r="D30" s="44">
        <v>271.9</v>
      </c>
      <c r="E30" s="140">
        <f t="shared" si="2"/>
        <v>9543.4</v>
      </c>
      <c r="F30" s="44">
        <v>6212.3</v>
      </c>
      <c r="G30" s="44">
        <v>2097.5</v>
      </c>
      <c r="H30" s="150"/>
      <c r="I30" s="44"/>
      <c r="J30" s="44">
        <v>1233.6</v>
      </c>
      <c r="K30" s="151"/>
      <c r="L30" s="152"/>
      <c r="M30" s="44"/>
      <c r="N30" s="164">
        <f t="shared" si="1"/>
        <v>39947</v>
      </c>
      <c r="O30" s="146"/>
      <c r="P30" s="146"/>
      <c r="Q30" s="146"/>
      <c r="R30" s="146"/>
      <c r="S30" s="146"/>
      <c r="T30" s="146"/>
      <c r="U30" s="146"/>
      <c r="V30" s="146"/>
      <c r="W30" s="146"/>
      <c r="X30" s="146"/>
      <c r="Y30" s="146"/>
      <c r="Z30" s="146"/>
      <c r="AA30" s="146"/>
      <c r="AB30" s="146"/>
      <c r="AC30" s="146"/>
      <c r="AD30" s="146"/>
      <c r="AE30" s="146"/>
      <c r="AF30" s="146"/>
      <c r="AG30" s="146"/>
    </row>
    <row r="31" spans="1:33" s="147" customFormat="1" ht="15.75">
      <c r="A31" s="148" t="s">
        <v>193</v>
      </c>
      <c r="B31" s="44">
        <v>453</v>
      </c>
      <c r="C31" s="149">
        <v>218.7</v>
      </c>
      <c r="D31" s="44">
        <v>26.7</v>
      </c>
      <c r="E31" s="140">
        <f t="shared" si="2"/>
        <v>80.9</v>
      </c>
      <c r="F31" s="44">
        <v>24.6</v>
      </c>
      <c r="G31" s="44">
        <v>26.1</v>
      </c>
      <c r="H31" s="150"/>
      <c r="I31" s="44"/>
      <c r="J31" s="44">
        <v>30.2</v>
      </c>
      <c r="K31" s="44"/>
      <c r="L31" s="153"/>
      <c r="M31" s="44"/>
      <c r="N31" s="164">
        <f t="shared" si="1"/>
        <v>779.3000000000001</v>
      </c>
      <c r="O31" s="146"/>
      <c r="P31" s="146"/>
      <c r="Q31" s="146"/>
      <c r="R31" s="146"/>
      <c r="S31" s="146"/>
      <c r="T31" s="146"/>
      <c r="U31" s="146"/>
      <c r="V31" s="146"/>
      <c r="W31" s="146"/>
      <c r="X31" s="146"/>
      <c r="Y31" s="146"/>
      <c r="Z31" s="146"/>
      <c r="AA31" s="146"/>
      <c r="AB31" s="146"/>
      <c r="AC31" s="146"/>
      <c r="AD31" s="146"/>
      <c r="AE31" s="146"/>
      <c r="AF31" s="146"/>
      <c r="AG31" s="146"/>
    </row>
    <row r="32" spans="1:33" s="147" customFormat="1" ht="15.75">
      <c r="A32" s="148" t="s">
        <v>194</v>
      </c>
      <c r="B32" s="44">
        <v>1529.2</v>
      </c>
      <c r="C32" s="149">
        <v>835.6</v>
      </c>
      <c r="D32" s="44">
        <v>287.5</v>
      </c>
      <c r="E32" s="140">
        <f t="shared" si="2"/>
        <v>474.79999999999995</v>
      </c>
      <c r="F32" s="44">
        <v>84.7</v>
      </c>
      <c r="G32" s="44">
        <v>145.7</v>
      </c>
      <c r="H32" s="150"/>
      <c r="I32" s="44"/>
      <c r="J32" s="44">
        <v>244.4</v>
      </c>
      <c r="K32" s="151"/>
      <c r="L32" s="152"/>
      <c r="M32" s="44"/>
      <c r="N32" s="164">
        <f t="shared" si="1"/>
        <v>3127.1000000000004</v>
      </c>
      <c r="O32" s="146"/>
      <c r="P32" s="146"/>
      <c r="Q32" s="146"/>
      <c r="R32" s="146"/>
      <c r="S32" s="146"/>
      <c r="T32" s="146"/>
      <c r="U32" s="146"/>
      <c r="V32" s="146"/>
      <c r="W32" s="146"/>
      <c r="X32" s="146"/>
      <c r="Y32" s="146"/>
      <c r="Z32" s="146"/>
      <c r="AA32" s="146"/>
      <c r="AB32" s="146"/>
      <c r="AC32" s="146"/>
      <c r="AD32" s="146"/>
      <c r="AE32" s="146"/>
      <c r="AF32" s="146"/>
      <c r="AG32" s="146"/>
    </row>
    <row r="33" spans="1:33" s="147" customFormat="1" ht="15.75">
      <c r="A33" s="148" t="s">
        <v>195</v>
      </c>
      <c r="B33" s="44">
        <v>4748.6</v>
      </c>
      <c r="C33" s="149">
        <v>9966.6</v>
      </c>
      <c r="D33" s="44">
        <v>423.3</v>
      </c>
      <c r="E33" s="140">
        <f t="shared" si="2"/>
        <v>2636.5</v>
      </c>
      <c r="F33" s="44">
        <v>1673.7</v>
      </c>
      <c r="G33" s="44">
        <v>623.8</v>
      </c>
      <c r="H33" s="150"/>
      <c r="I33" s="44"/>
      <c r="J33" s="44">
        <v>339</v>
      </c>
      <c r="K33" s="151"/>
      <c r="L33" s="152"/>
      <c r="M33" s="44"/>
      <c r="N33" s="164">
        <f t="shared" si="1"/>
        <v>17775</v>
      </c>
      <c r="O33" s="146"/>
      <c r="P33" s="146"/>
      <c r="Q33" s="146"/>
      <c r="R33" s="146"/>
      <c r="S33" s="146"/>
      <c r="T33" s="146"/>
      <c r="U33" s="146"/>
      <c r="V33" s="146"/>
      <c r="W33" s="146"/>
      <c r="X33" s="146"/>
      <c r="Y33" s="146"/>
      <c r="Z33" s="146"/>
      <c r="AA33" s="146"/>
      <c r="AB33" s="146"/>
      <c r="AC33" s="146"/>
      <c r="AD33" s="146"/>
      <c r="AE33" s="146"/>
      <c r="AF33" s="146"/>
      <c r="AG33" s="146"/>
    </row>
    <row r="34" spans="1:33" s="147" customFormat="1" ht="15.75">
      <c r="A34" s="148" t="s">
        <v>196</v>
      </c>
      <c r="B34" s="44">
        <v>2534.3</v>
      </c>
      <c r="C34" s="149">
        <v>1378.2</v>
      </c>
      <c r="D34" s="44">
        <v>425</v>
      </c>
      <c r="E34" s="140">
        <f t="shared" si="2"/>
        <v>326.79999999999995</v>
      </c>
      <c r="F34" s="44">
        <v>64.7</v>
      </c>
      <c r="G34" s="44">
        <v>136.2</v>
      </c>
      <c r="H34" s="150"/>
      <c r="I34" s="44"/>
      <c r="J34" s="44">
        <v>125.9</v>
      </c>
      <c r="K34" s="151"/>
      <c r="L34" s="152"/>
      <c r="M34" s="44"/>
      <c r="N34" s="164">
        <f t="shared" si="1"/>
        <v>4664.3</v>
      </c>
      <c r="O34" s="146"/>
      <c r="P34" s="146"/>
      <c r="Q34" s="146"/>
      <c r="R34" s="146"/>
      <c r="S34" s="146"/>
      <c r="T34" s="146"/>
      <c r="U34" s="146"/>
      <c r="V34" s="146"/>
      <c r="W34" s="146"/>
      <c r="X34" s="146"/>
      <c r="Y34" s="146"/>
      <c r="Z34" s="146"/>
      <c r="AA34" s="146"/>
      <c r="AB34" s="146"/>
      <c r="AC34" s="146"/>
      <c r="AD34" s="146"/>
      <c r="AE34" s="146"/>
      <c r="AF34" s="146"/>
      <c r="AG34" s="146"/>
    </row>
    <row r="35" spans="1:33" s="147" customFormat="1" ht="15.75">
      <c r="A35" s="148" t="s">
        <v>197</v>
      </c>
      <c r="B35" s="44">
        <v>3314.7</v>
      </c>
      <c r="C35" s="149">
        <v>1896.3</v>
      </c>
      <c r="D35" s="44">
        <v>528.7</v>
      </c>
      <c r="E35" s="140">
        <f t="shared" si="2"/>
        <v>580.4</v>
      </c>
      <c r="F35" s="44">
        <v>87.2</v>
      </c>
      <c r="G35" s="44">
        <v>154.7</v>
      </c>
      <c r="H35" s="150"/>
      <c r="I35" s="44"/>
      <c r="J35" s="44">
        <v>338.5</v>
      </c>
      <c r="K35" s="151"/>
      <c r="L35" s="152"/>
      <c r="M35" s="44"/>
      <c r="N35" s="164">
        <f t="shared" si="1"/>
        <v>6320.099999999999</v>
      </c>
      <c r="O35" s="146"/>
      <c r="P35" s="146"/>
      <c r="Q35" s="146"/>
      <c r="R35" s="146"/>
      <c r="S35" s="146"/>
      <c r="T35" s="146"/>
      <c r="U35" s="146"/>
      <c r="V35" s="146"/>
      <c r="W35" s="146"/>
      <c r="X35" s="146"/>
      <c r="Y35" s="146"/>
      <c r="Z35" s="146"/>
      <c r="AA35" s="146"/>
      <c r="AB35" s="146"/>
      <c r="AC35" s="146"/>
      <c r="AD35" s="146"/>
      <c r="AE35" s="146"/>
      <c r="AF35" s="146"/>
      <c r="AG35" s="146"/>
    </row>
    <row r="36" spans="1:33" s="147" customFormat="1" ht="15.75">
      <c r="A36" s="148" t="s">
        <v>198</v>
      </c>
      <c r="B36" s="44">
        <v>493.2</v>
      </c>
      <c r="C36" s="149">
        <v>1144</v>
      </c>
      <c r="D36" s="44">
        <v>0</v>
      </c>
      <c r="E36" s="140">
        <f t="shared" si="2"/>
        <v>66.4</v>
      </c>
      <c r="F36" s="44">
        <v>21.1</v>
      </c>
      <c r="G36" s="44">
        <v>20.8</v>
      </c>
      <c r="H36" s="150"/>
      <c r="I36" s="44"/>
      <c r="J36" s="44">
        <v>24.5</v>
      </c>
      <c r="K36" s="151"/>
      <c r="L36" s="152"/>
      <c r="M36" s="44"/>
      <c r="N36" s="164">
        <f t="shared" si="1"/>
        <v>1703.6000000000001</v>
      </c>
      <c r="O36" s="146"/>
      <c r="P36" s="146"/>
      <c r="Q36" s="146"/>
      <c r="R36" s="146"/>
      <c r="S36" s="146"/>
      <c r="T36" s="146"/>
      <c r="U36" s="146"/>
      <c r="V36" s="146"/>
      <c r="W36" s="146"/>
      <c r="X36" s="146"/>
      <c r="Y36" s="146"/>
      <c r="Z36" s="146"/>
      <c r="AA36" s="146"/>
      <c r="AB36" s="146"/>
      <c r="AC36" s="146"/>
      <c r="AD36" s="146"/>
      <c r="AE36" s="146"/>
      <c r="AF36" s="146"/>
      <c r="AG36" s="146"/>
    </row>
    <row r="37" spans="1:33" s="147" customFormat="1" ht="15.75">
      <c r="A37" s="148" t="s">
        <v>199</v>
      </c>
      <c r="B37" s="44">
        <v>3328.8</v>
      </c>
      <c r="C37" s="149">
        <v>6901.3</v>
      </c>
      <c r="D37" s="44">
        <v>408.8</v>
      </c>
      <c r="E37" s="140">
        <f t="shared" si="2"/>
        <v>1603.5</v>
      </c>
      <c r="F37" s="44">
        <v>1044.3</v>
      </c>
      <c r="G37" s="44">
        <v>240.7</v>
      </c>
      <c r="H37" s="150"/>
      <c r="I37" s="44"/>
      <c r="J37" s="44">
        <v>318.5</v>
      </c>
      <c r="K37" s="151"/>
      <c r="L37" s="152"/>
      <c r="M37" s="44"/>
      <c r="N37" s="164">
        <f t="shared" si="1"/>
        <v>12242.4</v>
      </c>
      <c r="O37" s="146"/>
      <c r="P37" s="146"/>
      <c r="Q37" s="146"/>
      <c r="R37" s="146"/>
      <c r="S37" s="146"/>
      <c r="T37" s="146"/>
      <c r="U37" s="146"/>
      <c r="V37" s="146"/>
      <c r="W37" s="146"/>
      <c r="X37" s="146"/>
      <c r="Y37" s="146"/>
      <c r="Z37" s="146"/>
      <c r="AA37" s="146"/>
      <c r="AB37" s="146"/>
      <c r="AC37" s="146"/>
      <c r="AD37" s="146"/>
      <c r="AE37" s="146"/>
      <c r="AF37" s="146"/>
      <c r="AG37" s="146"/>
    </row>
    <row r="38" spans="1:33" s="147" customFormat="1" ht="15.75">
      <c r="A38" s="148" t="s">
        <v>200</v>
      </c>
      <c r="B38" s="44">
        <v>2302.9</v>
      </c>
      <c r="C38" s="149">
        <v>1665.9</v>
      </c>
      <c r="D38" s="44">
        <v>236.8</v>
      </c>
      <c r="E38" s="140">
        <f t="shared" si="2"/>
        <v>361.8</v>
      </c>
      <c r="F38" s="44">
        <v>102.2</v>
      </c>
      <c r="G38" s="44">
        <v>86.2</v>
      </c>
      <c r="H38" s="150"/>
      <c r="I38" s="44"/>
      <c r="J38" s="44">
        <v>173.4</v>
      </c>
      <c r="K38" s="151"/>
      <c r="L38" s="152"/>
      <c r="M38" s="44"/>
      <c r="N38" s="164">
        <f t="shared" si="1"/>
        <v>4567.400000000001</v>
      </c>
      <c r="O38" s="146"/>
      <c r="P38" s="146"/>
      <c r="Q38" s="146"/>
      <c r="R38" s="146"/>
      <c r="S38" s="146"/>
      <c r="T38" s="146"/>
      <c r="U38" s="146"/>
      <c r="V38" s="146"/>
      <c r="W38" s="146"/>
      <c r="X38" s="146"/>
      <c r="Y38" s="146"/>
      <c r="Z38" s="146"/>
      <c r="AA38" s="146"/>
      <c r="AB38" s="146"/>
      <c r="AC38" s="146"/>
      <c r="AD38" s="146"/>
      <c r="AE38" s="146"/>
      <c r="AF38" s="146"/>
      <c r="AG38" s="146"/>
    </row>
    <row r="39" spans="1:33" s="147" customFormat="1" ht="15.75">
      <c r="A39" s="148" t="s">
        <v>201</v>
      </c>
      <c r="B39" s="44">
        <v>826.7</v>
      </c>
      <c r="C39" s="149">
        <v>1818.6</v>
      </c>
      <c r="D39" s="44">
        <v>178.8</v>
      </c>
      <c r="E39" s="140">
        <f t="shared" si="2"/>
        <v>1862.8</v>
      </c>
      <c r="F39" s="44">
        <v>111.1</v>
      </c>
      <c r="G39" s="44">
        <v>201.2</v>
      </c>
      <c r="H39" s="150"/>
      <c r="I39" s="44">
        <v>1403.9</v>
      </c>
      <c r="J39" s="44">
        <v>146.6</v>
      </c>
      <c r="K39" s="151"/>
      <c r="L39" s="152"/>
      <c r="M39" s="44"/>
      <c r="N39" s="164">
        <f t="shared" si="1"/>
        <v>4686.900000000001</v>
      </c>
      <c r="O39" s="146"/>
      <c r="P39" s="146"/>
      <c r="Q39" s="146"/>
      <c r="R39" s="146"/>
      <c r="S39" s="146"/>
      <c r="T39" s="146"/>
      <c r="U39" s="146"/>
      <c r="V39" s="146"/>
      <c r="W39" s="146"/>
      <c r="X39" s="146"/>
      <c r="Y39" s="146"/>
      <c r="Z39" s="146"/>
      <c r="AA39" s="146"/>
      <c r="AB39" s="146"/>
      <c r="AC39" s="146"/>
      <c r="AD39" s="146"/>
      <c r="AE39" s="146"/>
      <c r="AF39" s="146"/>
      <c r="AG39" s="146"/>
    </row>
    <row r="40" spans="1:33" s="147" customFormat="1" ht="15.75">
      <c r="A40" s="148" t="s">
        <v>202</v>
      </c>
      <c r="B40" s="44">
        <v>1589.8</v>
      </c>
      <c r="C40" s="149">
        <v>308.9</v>
      </c>
      <c r="D40" s="44">
        <v>493.3</v>
      </c>
      <c r="E40" s="140">
        <f t="shared" si="2"/>
        <v>75</v>
      </c>
      <c r="F40" s="44">
        <v>16.5</v>
      </c>
      <c r="G40" s="44">
        <v>32.8</v>
      </c>
      <c r="H40" s="150"/>
      <c r="I40" s="44"/>
      <c r="J40" s="44">
        <v>25.7</v>
      </c>
      <c r="K40" s="151"/>
      <c r="L40" s="152"/>
      <c r="M40" s="44"/>
      <c r="N40" s="164">
        <f t="shared" si="1"/>
        <v>2467</v>
      </c>
      <c r="O40" s="146"/>
      <c r="P40" s="146"/>
      <c r="Q40" s="146"/>
      <c r="R40" s="146"/>
      <c r="S40" s="146"/>
      <c r="T40" s="146"/>
      <c r="U40" s="146"/>
      <c r="V40" s="146"/>
      <c r="W40" s="146"/>
      <c r="X40" s="146"/>
      <c r="Y40" s="146"/>
      <c r="Z40" s="146"/>
      <c r="AA40" s="146"/>
      <c r="AB40" s="146"/>
      <c r="AC40" s="146"/>
      <c r="AD40" s="146"/>
      <c r="AE40" s="146"/>
      <c r="AF40" s="146"/>
      <c r="AG40" s="146"/>
    </row>
    <row r="41" spans="1:33" s="147" customFormat="1" ht="15.75">
      <c r="A41" s="148" t="s">
        <v>203</v>
      </c>
      <c r="B41" s="44">
        <v>3004.4</v>
      </c>
      <c r="C41" s="149">
        <v>3641.4</v>
      </c>
      <c r="D41" s="44">
        <v>850.4</v>
      </c>
      <c r="E41" s="140">
        <f t="shared" si="2"/>
        <v>277.29999999999995</v>
      </c>
      <c r="F41" s="44">
        <v>47.8</v>
      </c>
      <c r="G41" s="44">
        <v>170.6</v>
      </c>
      <c r="H41" s="150"/>
      <c r="I41" s="44"/>
      <c r="J41" s="44">
        <v>58.9</v>
      </c>
      <c r="K41" s="151"/>
      <c r="L41" s="152"/>
      <c r="M41" s="44"/>
      <c r="N41" s="164">
        <f t="shared" si="1"/>
        <v>7773.5</v>
      </c>
      <c r="O41" s="146"/>
      <c r="P41" s="146"/>
      <c r="Q41" s="146"/>
      <c r="R41" s="146"/>
      <c r="S41" s="146"/>
      <c r="T41" s="146"/>
      <c r="U41" s="146"/>
      <c r="V41" s="146"/>
      <c r="W41" s="146"/>
      <c r="X41" s="146"/>
      <c r="Y41" s="146"/>
      <c r="Z41" s="146"/>
      <c r="AA41" s="146"/>
      <c r="AB41" s="146"/>
      <c r="AC41" s="146"/>
      <c r="AD41" s="146"/>
      <c r="AE41" s="146"/>
      <c r="AF41" s="146"/>
      <c r="AG41" s="146"/>
    </row>
    <row r="42" spans="1:33" s="147" customFormat="1" ht="15.75">
      <c r="A42" s="148" t="s">
        <v>204</v>
      </c>
      <c r="B42" s="44">
        <v>2365.8</v>
      </c>
      <c r="C42" s="149">
        <v>3215.1</v>
      </c>
      <c r="D42" s="44">
        <v>601.7</v>
      </c>
      <c r="E42" s="140">
        <f t="shared" si="2"/>
        <v>265.3</v>
      </c>
      <c r="F42" s="44">
        <v>62.2</v>
      </c>
      <c r="G42" s="44">
        <v>86.7</v>
      </c>
      <c r="H42" s="150"/>
      <c r="I42" s="44"/>
      <c r="J42" s="44">
        <v>116.4</v>
      </c>
      <c r="K42" s="151"/>
      <c r="L42" s="152"/>
      <c r="M42" s="44"/>
      <c r="N42" s="164">
        <f t="shared" si="1"/>
        <v>6447.9</v>
      </c>
      <c r="O42" s="146"/>
      <c r="P42" s="146"/>
      <c r="Q42" s="146"/>
      <c r="R42" s="146"/>
      <c r="S42" s="146"/>
      <c r="T42" s="146"/>
      <c r="U42" s="146"/>
      <c r="V42" s="146"/>
      <c r="W42" s="146"/>
      <c r="X42" s="146"/>
      <c r="Y42" s="146"/>
      <c r="Z42" s="146"/>
      <c r="AA42" s="146"/>
      <c r="AB42" s="146"/>
      <c r="AC42" s="146"/>
      <c r="AD42" s="146"/>
      <c r="AE42" s="146"/>
      <c r="AF42" s="146"/>
      <c r="AG42" s="146"/>
    </row>
    <row r="43" spans="1:33" s="147" customFormat="1" ht="15.75">
      <c r="A43" s="148" t="s">
        <v>205</v>
      </c>
      <c r="B43" s="44">
        <v>2396.3</v>
      </c>
      <c r="C43" s="149">
        <v>919.8</v>
      </c>
      <c r="D43" s="44">
        <v>1548.7</v>
      </c>
      <c r="E43" s="140">
        <f t="shared" si="2"/>
        <v>281.9</v>
      </c>
      <c r="F43" s="44">
        <v>53</v>
      </c>
      <c r="G43" s="44">
        <v>136</v>
      </c>
      <c r="H43" s="150"/>
      <c r="I43" s="44"/>
      <c r="J43" s="44">
        <v>92.9</v>
      </c>
      <c r="K43" s="151"/>
      <c r="L43" s="152"/>
      <c r="M43" s="44"/>
      <c r="N43" s="164">
        <f t="shared" si="1"/>
        <v>5146.7</v>
      </c>
      <c r="O43" s="146"/>
      <c r="P43" s="146"/>
      <c r="Q43" s="146"/>
      <c r="R43" s="146"/>
      <c r="S43" s="146"/>
      <c r="T43" s="146"/>
      <c r="U43" s="146"/>
      <c r="V43" s="146"/>
      <c r="W43" s="146"/>
      <c r="X43" s="146"/>
      <c r="Y43" s="146"/>
      <c r="Z43" s="146"/>
      <c r="AA43" s="146"/>
      <c r="AB43" s="146"/>
      <c r="AC43" s="146"/>
      <c r="AD43" s="146"/>
      <c r="AE43" s="146"/>
      <c r="AF43" s="146"/>
      <c r="AG43" s="146"/>
    </row>
    <row r="44" spans="1:33" s="147" customFormat="1" ht="15.75">
      <c r="A44" s="148" t="s">
        <v>206</v>
      </c>
      <c r="B44" s="44">
        <v>2814</v>
      </c>
      <c r="C44" s="149">
        <v>3430.7</v>
      </c>
      <c r="D44" s="44">
        <v>1542.7</v>
      </c>
      <c r="E44" s="140">
        <f t="shared" si="2"/>
        <v>493.20000000000005</v>
      </c>
      <c r="F44" s="44">
        <v>97.8</v>
      </c>
      <c r="G44" s="44">
        <v>112.8</v>
      </c>
      <c r="H44" s="150"/>
      <c r="I44" s="44"/>
      <c r="J44" s="44">
        <v>282.6</v>
      </c>
      <c r="K44" s="151"/>
      <c r="L44" s="152"/>
      <c r="M44" s="44"/>
      <c r="N44" s="164">
        <f t="shared" si="1"/>
        <v>8280.6</v>
      </c>
      <c r="O44" s="146"/>
      <c r="P44" s="146"/>
      <c r="Q44" s="146"/>
      <c r="R44" s="146"/>
      <c r="S44" s="146"/>
      <c r="T44" s="146"/>
      <c r="U44" s="146"/>
      <c r="V44" s="146"/>
      <c r="W44" s="146"/>
      <c r="X44" s="146"/>
      <c r="Y44" s="146"/>
      <c r="Z44" s="146"/>
      <c r="AA44" s="146"/>
      <c r="AB44" s="146"/>
      <c r="AC44" s="146"/>
      <c r="AD44" s="146"/>
      <c r="AE44" s="146"/>
      <c r="AF44" s="146"/>
      <c r="AG44" s="146"/>
    </row>
    <row r="45" spans="1:33" s="147" customFormat="1" ht="15.75">
      <c r="A45" s="148" t="s">
        <v>207</v>
      </c>
      <c r="B45" s="44">
        <v>1023.6</v>
      </c>
      <c r="C45" s="149">
        <v>1283.2</v>
      </c>
      <c r="D45" s="44">
        <v>305.8</v>
      </c>
      <c r="E45" s="140">
        <f t="shared" si="2"/>
        <v>149.9</v>
      </c>
      <c r="F45" s="44">
        <v>33.8</v>
      </c>
      <c r="G45" s="44">
        <v>61.7</v>
      </c>
      <c r="H45" s="150"/>
      <c r="I45" s="44"/>
      <c r="J45" s="44">
        <v>54.4</v>
      </c>
      <c r="K45" s="151"/>
      <c r="L45" s="152"/>
      <c r="M45" s="44"/>
      <c r="N45" s="164">
        <f t="shared" si="1"/>
        <v>2762.5000000000005</v>
      </c>
      <c r="O45" s="146"/>
      <c r="P45" s="146"/>
      <c r="Q45" s="146"/>
      <c r="R45" s="146"/>
      <c r="S45" s="146"/>
      <c r="T45" s="146"/>
      <c r="U45" s="146"/>
      <c r="V45" s="146"/>
      <c r="W45" s="146"/>
      <c r="X45" s="146"/>
      <c r="Y45" s="146"/>
      <c r="Z45" s="146"/>
      <c r="AA45" s="146"/>
      <c r="AB45" s="146"/>
      <c r="AC45" s="146"/>
      <c r="AD45" s="146"/>
      <c r="AE45" s="146"/>
      <c r="AF45" s="146"/>
      <c r="AG45" s="146"/>
    </row>
    <row r="46" spans="1:33" s="147" customFormat="1" ht="15.75">
      <c r="A46" s="148" t="s">
        <v>208</v>
      </c>
      <c r="B46" s="44">
        <v>762.9</v>
      </c>
      <c r="C46" s="149">
        <v>115.7</v>
      </c>
      <c r="D46" s="44">
        <v>487.1</v>
      </c>
      <c r="E46" s="140">
        <f t="shared" si="2"/>
        <v>79.9</v>
      </c>
      <c r="F46" s="44">
        <v>20.2</v>
      </c>
      <c r="G46" s="44">
        <v>17.7</v>
      </c>
      <c r="H46" s="150"/>
      <c r="I46" s="44"/>
      <c r="J46" s="44">
        <v>42</v>
      </c>
      <c r="K46" s="151"/>
      <c r="L46" s="152"/>
      <c r="M46" s="44"/>
      <c r="N46" s="164">
        <f t="shared" si="1"/>
        <v>1445.6000000000001</v>
      </c>
      <c r="O46" s="146"/>
      <c r="P46" s="146"/>
      <c r="Q46" s="146"/>
      <c r="R46" s="146"/>
      <c r="S46" s="146"/>
      <c r="T46" s="146"/>
      <c r="U46" s="146"/>
      <c r="V46" s="146"/>
      <c r="W46" s="146"/>
      <c r="X46" s="146"/>
      <c r="Y46" s="146"/>
      <c r="Z46" s="146"/>
      <c r="AA46" s="146"/>
      <c r="AB46" s="146"/>
      <c r="AC46" s="146"/>
      <c r="AD46" s="146"/>
      <c r="AE46" s="146"/>
      <c r="AF46" s="146"/>
      <c r="AG46" s="146"/>
    </row>
    <row r="47" spans="1:33" s="147" customFormat="1" ht="15.75">
      <c r="A47" s="148" t="s">
        <v>209</v>
      </c>
      <c r="B47" s="44">
        <v>1204.2</v>
      </c>
      <c r="C47" s="149">
        <v>1114.8</v>
      </c>
      <c r="D47" s="44">
        <v>216.3</v>
      </c>
      <c r="E47" s="140">
        <f t="shared" si="2"/>
        <v>81.7</v>
      </c>
      <c r="F47" s="44">
        <v>25.6</v>
      </c>
      <c r="G47" s="44">
        <v>32.1</v>
      </c>
      <c r="H47" s="150"/>
      <c r="I47" s="44"/>
      <c r="J47" s="44">
        <v>24</v>
      </c>
      <c r="K47" s="151"/>
      <c r="L47" s="152"/>
      <c r="M47" s="44"/>
      <c r="N47" s="164">
        <f t="shared" si="1"/>
        <v>2617</v>
      </c>
      <c r="O47" s="146"/>
      <c r="P47" s="146"/>
      <c r="Q47" s="146"/>
      <c r="R47" s="146"/>
      <c r="S47" s="146"/>
      <c r="T47" s="146"/>
      <c r="U47" s="146"/>
      <c r="V47" s="146"/>
      <c r="W47" s="146"/>
      <c r="X47" s="146"/>
      <c r="Y47" s="146"/>
      <c r="Z47" s="146"/>
      <c r="AA47" s="146"/>
      <c r="AB47" s="146"/>
      <c r="AC47" s="146"/>
      <c r="AD47" s="146"/>
      <c r="AE47" s="146"/>
      <c r="AF47" s="146"/>
      <c r="AG47" s="146"/>
    </row>
    <row r="48" spans="1:33" s="147" customFormat="1" ht="15.75">
      <c r="A48" s="148" t="s">
        <v>210</v>
      </c>
      <c r="B48" s="44">
        <v>970.4</v>
      </c>
      <c r="C48" s="149">
        <v>222.8</v>
      </c>
      <c r="D48" s="44">
        <v>834.2</v>
      </c>
      <c r="E48" s="140">
        <f t="shared" si="2"/>
        <v>113.2</v>
      </c>
      <c r="F48" s="44">
        <v>39.6</v>
      </c>
      <c r="G48" s="44">
        <v>32.1</v>
      </c>
      <c r="H48" s="150"/>
      <c r="I48" s="44"/>
      <c r="J48" s="44">
        <v>41.5</v>
      </c>
      <c r="K48" s="151"/>
      <c r="L48" s="152"/>
      <c r="M48" s="44"/>
      <c r="N48" s="164">
        <f t="shared" si="1"/>
        <v>2140.6</v>
      </c>
      <c r="O48" s="146"/>
      <c r="P48" s="146"/>
      <c r="Q48" s="146"/>
      <c r="R48" s="146"/>
      <c r="S48" s="146"/>
      <c r="T48" s="146"/>
      <c r="U48" s="146"/>
      <c r="V48" s="146"/>
      <c r="W48" s="146"/>
      <c r="X48" s="146"/>
      <c r="Y48" s="146"/>
      <c r="Z48" s="146"/>
      <c r="AA48" s="146"/>
      <c r="AB48" s="146"/>
      <c r="AC48" s="146"/>
      <c r="AD48" s="146"/>
      <c r="AE48" s="146"/>
      <c r="AF48" s="146"/>
      <c r="AG48" s="146"/>
    </row>
    <row r="49" spans="1:33" s="147" customFormat="1" ht="15.75">
      <c r="A49" s="148" t="s">
        <v>211</v>
      </c>
      <c r="B49" s="44">
        <v>3106.9</v>
      </c>
      <c r="C49" s="149">
        <v>3213</v>
      </c>
      <c r="D49" s="44">
        <v>970.8</v>
      </c>
      <c r="E49" s="140">
        <f t="shared" si="2"/>
        <v>499.9</v>
      </c>
      <c r="F49" s="44">
        <v>118.1</v>
      </c>
      <c r="G49" s="44">
        <v>219.2</v>
      </c>
      <c r="H49" s="150"/>
      <c r="I49" s="44"/>
      <c r="J49" s="44">
        <v>162.6</v>
      </c>
      <c r="K49" s="151"/>
      <c r="L49" s="152"/>
      <c r="M49" s="44"/>
      <c r="N49" s="164">
        <f t="shared" si="1"/>
        <v>7790.599999999999</v>
      </c>
      <c r="O49" s="146"/>
      <c r="P49" s="146"/>
      <c r="Q49" s="146"/>
      <c r="R49" s="146"/>
      <c r="S49" s="146"/>
      <c r="T49" s="146"/>
      <c r="U49" s="146"/>
      <c r="V49" s="146"/>
      <c r="W49" s="146"/>
      <c r="X49" s="146"/>
      <c r="Y49" s="146"/>
      <c r="Z49" s="146"/>
      <c r="AA49" s="146"/>
      <c r="AB49" s="146"/>
      <c r="AC49" s="146"/>
      <c r="AD49" s="146"/>
      <c r="AE49" s="146"/>
      <c r="AF49" s="146"/>
      <c r="AG49" s="146"/>
    </row>
    <row r="50" spans="1:33" s="147" customFormat="1" ht="15.75">
      <c r="A50" s="148" t="s">
        <v>212</v>
      </c>
      <c r="B50" s="44">
        <v>1469.4</v>
      </c>
      <c r="C50" s="149">
        <v>1682.7</v>
      </c>
      <c r="D50" s="44">
        <v>395.5</v>
      </c>
      <c r="E50" s="140">
        <f t="shared" si="2"/>
        <v>145.8</v>
      </c>
      <c r="F50" s="44">
        <v>31.4</v>
      </c>
      <c r="G50" s="44">
        <v>71.7</v>
      </c>
      <c r="H50" s="150"/>
      <c r="I50" s="44"/>
      <c r="J50" s="44">
        <v>42.7</v>
      </c>
      <c r="K50" s="151"/>
      <c r="L50" s="152"/>
      <c r="M50" s="44"/>
      <c r="N50" s="164">
        <f t="shared" si="1"/>
        <v>3693.4000000000005</v>
      </c>
      <c r="O50" s="146"/>
      <c r="P50" s="146"/>
      <c r="Q50" s="146"/>
      <c r="R50" s="146"/>
      <c r="S50" s="146"/>
      <c r="T50" s="146"/>
      <c r="U50" s="146"/>
      <c r="V50" s="146"/>
      <c r="W50" s="146"/>
      <c r="X50" s="146"/>
      <c r="Y50" s="146"/>
      <c r="Z50" s="146"/>
      <c r="AA50" s="146"/>
      <c r="AB50" s="146"/>
      <c r="AC50" s="146"/>
      <c r="AD50" s="146"/>
      <c r="AE50" s="146"/>
      <c r="AF50" s="146"/>
      <c r="AG50" s="146"/>
    </row>
    <row r="51" spans="1:33" s="147" customFormat="1" ht="15.75">
      <c r="A51" s="148" t="s">
        <v>213</v>
      </c>
      <c r="B51" s="44">
        <v>719.1</v>
      </c>
      <c r="C51" s="149">
        <v>1394</v>
      </c>
      <c r="D51" s="44">
        <v>418.9</v>
      </c>
      <c r="E51" s="140">
        <f t="shared" si="2"/>
        <v>205.1</v>
      </c>
      <c r="F51" s="44">
        <v>28.9</v>
      </c>
      <c r="G51" s="44">
        <v>84.6</v>
      </c>
      <c r="H51" s="150"/>
      <c r="I51" s="44"/>
      <c r="J51" s="44">
        <v>91.6</v>
      </c>
      <c r="K51" s="151"/>
      <c r="L51" s="152"/>
      <c r="M51" s="44"/>
      <c r="N51" s="164">
        <f t="shared" si="1"/>
        <v>2737.1</v>
      </c>
      <c r="O51" s="146"/>
      <c r="P51" s="146"/>
      <c r="Q51" s="146"/>
      <c r="R51" s="146"/>
      <c r="S51" s="146"/>
      <c r="T51" s="146"/>
      <c r="U51" s="146"/>
      <c r="V51" s="146"/>
      <c r="W51" s="146"/>
      <c r="X51" s="146"/>
      <c r="Y51" s="146"/>
      <c r="Z51" s="146"/>
      <c r="AA51" s="146"/>
      <c r="AB51" s="146"/>
      <c r="AC51" s="146"/>
      <c r="AD51" s="146"/>
      <c r="AE51" s="146"/>
      <c r="AF51" s="146"/>
      <c r="AG51" s="146"/>
    </row>
    <row r="52" spans="1:33" s="147" customFormat="1" ht="15.75">
      <c r="A52" s="148" t="s">
        <v>214</v>
      </c>
      <c r="B52" s="44">
        <v>1309.9</v>
      </c>
      <c r="C52" s="149">
        <v>522.5</v>
      </c>
      <c r="D52" s="44">
        <v>1066.1</v>
      </c>
      <c r="E52" s="140">
        <f t="shared" si="2"/>
        <v>94.9</v>
      </c>
      <c r="F52" s="44">
        <v>35.5</v>
      </c>
      <c r="G52" s="44">
        <v>30.7</v>
      </c>
      <c r="H52" s="150"/>
      <c r="I52" s="44"/>
      <c r="J52" s="44">
        <v>28.7</v>
      </c>
      <c r="K52" s="151"/>
      <c r="L52" s="152"/>
      <c r="M52" s="44"/>
      <c r="N52" s="164">
        <f t="shared" si="1"/>
        <v>2993.4</v>
      </c>
      <c r="O52" s="146"/>
      <c r="P52" s="146"/>
      <c r="Q52" s="146"/>
      <c r="R52" s="146"/>
      <c r="S52" s="146"/>
      <c r="T52" s="146"/>
      <c r="U52" s="146"/>
      <c r="V52" s="146"/>
      <c r="W52" s="146"/>
      <c r="X52" s="146"/>
      <c r="Y52" s="146"/>
      <c r="Z52" s="146"/>
      <c r="AA52" s="146"/>
      <c r="AB52" s="146"/>
      <c r="AC52" s="146"/>
      <c r="AD52" s="146"/>
      <c r="AE52" s="146"/>
      <c r="AF52" s="146"/>
      <c r="AG52" s="146"/>
    </row>
    <row r="53" spans="1:33" s="147" customFormat="1" ht="15.75">
      <c r="A53" s="148" t="s">
        <v>215</v>
      </c>
      <c r="B53" s="44">
        <v>2236.9</v>
      </c>
      <c r="C53" s="149">
        <v>1982.8</v>
      </c>
      <c r="D53" s="44">
        <v>850.3</v>
      </c>
      <c r="E53" s="140">
        <f t="shared" si="2"/>
        <v>341.1</v>
      </c>
      <c r="F53" s="44">
        <v>58.6</v>
      </c>
      <c r="G53" s="44">
        <v>159.4</v>
      </c>
      <c r="H53" s="150"/>
      <c r="I53" s="44"/>
      <c r="J53" s="44">
        <v>123.1</v>
      </c>
      <c r="K53" s="151"/>
      <c r="L53" s="152"/>
      <c r="M53" s="44"/>
      <c r="N53" s="164">
        <f t="shared" si="1"/>
        <v>5411.1</v>
      </c>
      <c r="O53" s="146"/>
      <c r="P53" s="146"/>
      <c r="Q53" s="146"/>
      <c r="R53" s="146"/>
      <c r="S53" s="146"/>
      <c r="T53" s="146"/>
      <c r="U53" s="146"/>
      <c r="V53" s="146"/>
      <c r="W53" s="146"/>
      <c r="X53" s="146"/>
      <c r="Y53" s="146"/>
      <c r="Z53" s="146"/>
      <c r="AA53" s="146"/>
      <c r="AB53" s="146"/>
      <c r="AC53" s="146"/>
      <c r="AD53" s="146"/>
      <c r="AE53" s="146"/>
      <c r="AF53" s="146"/>
      <c r="AG53" s="146"/>
    </row>
    <row r="54" spans="1:33" s="147" customFormat="1" ht="15.75">
      <c r="A54" s="148" t="s">
        <v>216</v>
      </c>
      <c r="B54" s="44">
        <v>1368.6</v>
      </c>
      <c r="C54" s="149">
        <v>437.3</v>
      </c>
      <c r="D54" s="44">
        <v>916</v>
      </c>
      <c r="E54" s="140">
        <f t="shared" si="2"/>
        <v>177.2</v>
      </c>
      <c r="F54" s="44">
        <v>36.8</v>
      </c>
      <c r="G54" s="44">
        <v>74.8</v>
      </c>
      <c r="H54" s="150"/>
      <c r="I54" s="44"/>
      <c r="J54" s="44">
        <v>65.6</v>
      </c>
      <c r="K54" s="151"/>
      <c r="L54" s="152"/>
      <c r="M54" s="44"/>
      <c r="N54" s="164">
        <f t="shared" si="1"/>
        <v>2899.0999999999995</v>
      </c>
      <c r="O54" s="146"/>
      <c r="P54" s="146"/>
      <c r="Q54" s="146"/>
      <c r="R54" s="146"/>
      <c r="S54" s="146"/>
      <c r="T54" s="146"/>
      <c r="U54" s="146"/>
      <c r="V54" s="146"/>
      <c r="W54" s="146"/>
      <c r="X54" s="146"/>
      <c r="Y54" s="146"/>
      <c r="Z54" s="146"/>
      <c r="AA54" s="146"/>
      <c r="AB54" s="146"/>
      <c r="AC54" s="146"/>
      <c r="AD54" s="146"/>
      <c r="AE54" s="146"/>
      <c r="AF54" s="146"/>
      <c r="AG54" s="146"/>
    </row>
    <row r="55" spans="1:33" s="147" customFormat="1" ht="15.75">
      <c r="A55" s="148" t="s">
        <v>217</v>
      </c>
      <c r="B55" s="44">
        <v>937.3</v>
      </c>
      <c r="C55" s="149">
        <v>257.7</v>
      </c>
      <c r="D55" s="44">
        <v>355.3</v>
      </c>
      <c r="E55" s="140">
        <f t="shared" si="2"/>
        <v>86.2</v>
      </c>
      <c r="F55" s="44">
        <v>14.9</v>
      </c>
      <c r="G55" s="44">
        <v>19.6</v>
      </c>
      <c r="H55" s="150"/>
      <c r="I55" s="44"/>
      <c r="J55" s="44">
        <v>51.7</v>
      </c>
      <c r="K55" s="151"/>
      <c r="L55" s="152"/>
      <c r="M55" s="44"/>
      <c r="N55" s="164">
        <f t="shared" si="1"/>
        <v>1636.5</v>
      </c>
      <c r="O55" s="146"/>
      <c r="P55" s="146"/>
      <c r="Q55" s="146"/>
      <c r="R55" s="146"/>
      <c r="S55" s="146"/>
      <c r="T55" s="146"/>
      <c r="U55" s="146"/>
      <c r="V55" s="146"/>
      <c r="W55" s="146"/>
      <c r="X55" s="146"/>
      <c r="Y55" s="146"/>
      <c r="Z55" s="146"/>
      <c r="AA55" s="146"/>
      <c r="AB55" s="146"/>
      <c r="AC55" s="146"/>
      <c r="AD55" s="146"/>
      <c r="AE55" s="146"/>
      <c r="AF55" s="146"/>
      <c r="AG55" s="146"/>
    </row>
    <row r="56" spans="1:33" s="147" customFormat="1" ht="15.75">
      <c r="A56" s="148" t="s">
        <v>218</v>
      </c>
      <c r="B56" s="44">
        <v>921.1</v>
      </c>
      <c r="C56" s="149">
        <v>563.9</v>
      </c>
      <c r="D56" s="44">
        <v>431.9</v>
      </c>
      <c r="E56" s="140">
        <f t="shared" si="2"/>
        <v>222.70000000000002</v>
      </c>
      <c r="F56" s="44">
        <v>33.5</v>
      </c>
      <c r="G56" s="44">
        <v>42.4</v>
      </c>
      <c r="H56" s="150"/>
      <c r="I56" s="44"/>
      <c r="J56" s="44">
        <v>146.8</v>
      </c>
      <c r="K56" s="151"/>
      <c r="L56" s="152"/>
      <c r="M56" s="44"/>
      <c r="N56" s="164">
        <f t="shared" si="1"/>
        <v>2139.6</v>
      </c>
      <c r="O56" s="146"/>
      <c r="P56" s="146"/>
      <c r="Q56" s="146"/>
      <c r="R56" s="146"/>
      <c r="S56" s="146"/>
      <c r="T56" s="146"/>
      <c r="U56" s="146"/>
      <c r="V56" s="146"/>
      <c r="W56" s="146"/>
      <c r="X56" s="146"/>
      <c r="Y56" s="146"/>
      <c r="Z56" s="146"/>
      <c r="AA56" s="146"/>
      <c r="AB56" s="146"/>
      <c r="AC56" s="146"/>
      <c r="AD56" s="146"/>
      <c r="AE56" s="146"/>
      <c r="AF56" s="146"/>
      <c r="AG56" s="146"/>
    </row>
    <row r="57" spans="1:33" s="147" customFormat="1" ht="16.5" thickBot="1">
      <c r="A57" s="154" t="s">
        <v>219</v>
      </c>
      <c r="B57" s="155"/>
      <c r="C57" s="156"/>
      <c r="D57" s="155"/>
      <c r="E57" s="155"/>
      <c r="F57" s="155"/>
      <c r="G57" s="155"/>
      <c r="H57" s="155"/>
      <c r="I57" s="155"/>
      <c r="J57" s="155"/>
      <c r="K57" s="155">
        <v>7136.8</v>
      </c>
      <c r="L57" s="157"/>
      <c r="M57" s="155">
        <v>19197.8</v>
      </c>
      <c r="N57" s="165">
        <f t="shared" si="1"/>
        <v>26334.6</v>
      </c>
      <c r="O57" s="146"/>
      <c r="P57" s="146"/>
      <c r="Q57" s="146"/>
      <c r="R57" s="146"/>
      <c r="S57" s="146"/>
      <c r="T57" s="146"/>
      <c r="U57" s="146"/>
      <c r="V57" s="146"/>
      <c r="W57" s="146"/>
      <c r="X57" s="146"/>
      <c r="Y57" s="146"/>
      <c r="Z57" s="146"/>
      <c r="AA57" s="146"/>
      <c r="AB57" s="146"/>
      <c r="AC57" s="146"/>
      <c r="AD57" s="146"/>
      <c r="AE57" s="146"/>
      <c r="AF57" s="146"/>
      <c r="AG57" s="146"/>
    </row>
    <row r="58" spans="1:33" s="103" customFormat="1" ht="18" customHeight="1" thickBot="1">
      <c r="A58" s="158" t="s">
        <v>220</v>
      </c>
      <c r="B58" s="159">
        <f aca="true" t="shared" si="3" ref="B58:N58">SUM(B12:B57)</f>
        <v>135671.59999999998</v>
      </c>
      <c r="C58" s="160">
        <f t="shared" si="3"/>
        <v>214383.2</v>
      </c>
      <c r="D58" s="159">
        <f t="shared" si="3"/>
        <v>21494.699999999997</v>
      </c>
      <c r="E58" s="159">
        <f t="shared" si="3"/>
        <v>76175.4</v>
      </c>
      <c r="F58" s="159">
        <f t="shared" si="3"/>
        <v>47411.3</v>
      </c>
      <c r="G58" s="159">
        <f t="shared" si="3"/>
        <v>13601.200000000006</v>
      </c>
      <c r="H58" s="159">
        <f t="shared" si="3"/>
        <v>177.4</v>
      </c>
      <c r="I58" s="159">
        <f t="shared" si="3"/>
        <v>2141.1000000000004</v>
      </c>
      <c r="J58" s="159">
        <f t="shared" si="3"/>
        <v>12844.400000000003</v>
      </c>
      <c r="K58" s="159">
        <f t="shared" si="3"/>
        <v>7136.8</v>
      </c>
      <c r="L58" s="159">
        <f t="shared" si="3"/>
        <v>524.8</v>
      </c>
      <c r="M58" s="159">
        <f t="shared" si="3"/>
        <v>19197.8</v>
      </c>
      <c r="N58" s="166">
        <f t="shared" si="3"/>
        <v>474584.2999999999</v>
      </c>
      <c r="O58" s="146"/>
      <c r="P58" s="146"/>
      <c r="Q58" s="146"/>
      <c r="R58" s="146"/>
      <c r="S58" s="146"/>
      <c r="T58" s="146"/>
      <c r="U58" s="146"/>
      <c r="V58" s="146"/>
      <c r="W58" s="146"/>
      <c r="X58" s="146"/>
      <c r="Y58" s="146"/>
      <c r="Z58" s="146"/>
      <c r="AA58" s="146"/>
      <c r="AB58" s="146"/>
      <c r="AC58" s="146"/>
      <c r="AD58" s="146"/>
      <c r="AE58" s="146"/>
      <c r="AF58" s="146"/>
      <c r="AG58" s="146"/>
    </row>
    <row r="59" spans="3:33" ht="15.75">
      <c r="C59" s="32"/>
      <c r="E59" s="32"/>
      <c r="M59" s="161"/>
      <c r="N59" s="162"/>
      <c r="O59" s="146"/>
      <c r="P59" s="146"/>
      <c r="Q59" s="146"/>
      <c r="R59" s="146"/>
      <c r="S59" s="146"/>
      <c r="T59" s="146"/>
      <c r="U59" s="146"/>
      <c r="V59" s="146"/>
      <c r="W59" s="146"/>
      <c r="X59" s="146"/>
      <c r="Y59" s="146"/>
      <c r="Z59" s="146"/>
      <c r="AA59" s="146"/>
      <c r="AB59" s="146"/>
      <c r="AC59" s="146"/>
      <c r="AD59" s="146"/>
      <c r="AE59" s="146"/>
      <c r="AF59" s="146"/>
      <c r="AG59" s="146"/>
    </row>
    <row r="60" spans="13:33" ht="15.75">
      <c r="M60" s="161"/>
      <c r="N60" s="162"/>
      <c r="O60" s="146"/>
      <c r="P60" s="146"/>
      <c r="Q60" s="146"/>
      <c r="R60" s="146"/>
      <c r="S60" s="146"/>
      <c r="T60" s="146"/>
      <c r="U60" s="146"/>
      <c r="V60" s="146"/>
      <c r="W60" s="146"/>
      <c r="X60" s="146"/>
      <c r="Y60" s="146"/>
      <c r="Z60" s="146"/>
      <c r="AA60" s="146"/>
      <c r="AB60" s="146"/>
      <c r="AC60" s="146"/>
      <c r="AD60" s="146"/>
      <c r="AE60" s="146"/>
      <c r="AF60" s="146"/>
      <c r="AG60" s="146"/>
    </row>
    <row r="61" spans="6:33" ht="15.75">
      <c r="F61" s="32"/>
      <c r="M61" s="161"/>
      <c r="N61" s="162"/>
      <c r="O61" s="146"/>
      <c r="P61" s="146"/>
      <c r="Q61" s="146"/>
      <c r="R61" s="146"/>
      <c r="S61" s="146"/>
      <c r="T61" s="146"/>
      <c r="U61" s="146"/>
      <c r="V61" s="146"/>
      <c r="W61" s="146"/>
      <c r="X61" s="146"/>
      <c r="Y61" s="146"/>
      <c r="Z61" s="146"/>
      <c r="AA61" s="146"/>
      <c r="AB61" s="146"/>
      <c r="AC61" s="146"/>
      <c r="AD61" s="146"/>
      <c r="AE61" s="146"/>
      <c r="AF61" s="146"/>
      <c r="AG61" s="146"/>
    </row>
    <row r="62" spans="13:33" ht="15.75">
      <c r="M62" s="161"/>
      <c r="N62" s="162"/>
      <c r="O62" s="146"/>
      <c r="P62" s="146"/>
      <c r="Q62" s="146"/>
      <c r="R62" s="146"/>
      <c r="S62" s="146"/>
      <c r="T62" s="146"/>
      <c r="U62" s="146"/>
      <c r="V62" s="146"/>
      <c r="W62" s="146"/>
      <c r="X62" s="146"/>
      <c r="Y62" s="146"/>
      <c r="Z62" s="146"/>
      <c r="AA62" s="146"/>
      <c r="AB62" s="146"/>
      <c r="AC62" s="146"/>
      <c r="AD62" s="146"/>
      <c r="AE62" s="146"/>
      <c r="AF62" s="146"/>
      <c r="AG62" s="146"/>
    </row>
    <row r="63" spans="13:33" ht="15.75">
      <c r="M63" s="161"/>
      <c r="N63" s="162"/>
      <c r="O63" s="146"/>
      <c r="P63" s="146"/>
      <c r="Q63" s="146"/>
      <c r="R63" s="146"/>
      <c r="S63" s="146"/>
      <c r="T63" s="146"/>
      <c r="U63" s="146"/>
      <c r="V63" s="146"/>
      <c r="W63" s="146"/>
      <c r="X63" s="146"/>
      <c r="Y63" s="146"/>
      <c r="Z63" s="146"/>
      <c r="AA63" s="146"/>
      <c r="AB63" s="146"/>
      <c r="AC63" s="146"/>
      <c r="AD63" s="146"/>
      <c r="AE63" s="146"/>
      <c r="AF63" s="146"/>
      <c r="AG63" s="146"/>
    </row>
    <row r="64" spans="13:33" ht="15.75">
      <c r="M64" s="161"/>
      <c r="N64" s="162"/>
      <c r="O64" s="146"/>
      <c r="P64" s="146"/>
      <c r="Q64" s="146"/>
      <c r="R64" s="146"/>
      <c r="S64" s="146"/>
      <c r="T64" s="146"/>
      <c r="U64" s="146"/>
      <c r="V64" s="146"/>
      <c r="W64" s="146"/>
      <c r="X64" s="146"/>
      <c r="Y64" s="146"/>
      <c r="Z64" s="146"/>
      <c r="AA64" s="146"/>
      <c r="AB64" s="146"/>
      <c r="AC64" s="146"/>
      <c r="AD64" s="146"/>
      <c r="AE64" s="146"/>
      <c r="AF64" s="146"/>
      <c r="AG64" s="146"/>
    </row>
    <row r="65" spans="13:33" ht="15.75">
      <c r="M65" s="161"/>
      <c r="N65" s="162"/>
      <c r="O65" s="146"/>
      <c r="P65" s="146"/>
      <c r="Q65" s="146"/>
      <c r="R65" s="146"/>
      <c r="S65" s="146"/>
      <c r="T65" s="146"/>
      <c r="U65" s="146"/>
      <c r="V65" s="146"/>
      <c r="W65" s="146"/>
      <c r="X65" s="146"/>
      <c r="Y65" s="146"/>
      <c r="Z65" s="146"/>
      <c r="AA65" s="146"/>
      <c r="AB65" s="146"/>
      <c r="AC65" s="146"/>
      <c r="AD65" s="146"/>
      <c r="AE65" s="146"/>
      <c r="AF65" s="146"/>
      <c r="AG65" s="146"/>
    </row>
    <row r="66" spans="13:33" ht="15.75">
      <c r="M66" s="161"/>
      <c r="N66" s="162"/>
      <c r="O66" s="146"/>
      <c r="P66" s="146"/>
      <c r="Q66" s="146"/>
      <c r="R66" s="146"/>
      <c r="S66" s="146"/>
      <c r="T66" s="146"/>
      <c r="U66" s="146"/>
      <c r="V66" s="146"/>
      <c r="W66" s="146"/>
      <c r="X66" s="146"/>
      <c r="Y66" s="146"/>
      <c r="Z66" s="146"/>
      <c r="AA66" s="146"/>
      <c r="AB66" s="146"/>
      <c r="AC66" s="146"/>
      <c r="AD66" s="146"/>
      <c r="AE66" s="146"/>
      <c r="AF66" s="146"/>
      <c r="AG66" s="146"/>
    </row>
    <row r="67" spans="13:33" ht="15.75">
      <c r="M67" s="161"/>
      <c r="N67" s="162"/>
      <c r="O67" s="146"/>
      <c r="P67" s="146"/>
      <c r="Q67" s="146"/>
      <c r="R67" s="146"/>
      <c r="S67" s="146"/>
      <c r="T67" s="146"/>
      <c r="U67" s="146"/>
      <c r="V67" s="146"/>
      <c r="W67" s="146"/>
      <c r="X67" s="146"/>
      <c r="Y67" s="146"/>
      <c r="Z67" s="146"/>
      <c r="AA67" s="146"/>
      <c r="AB67" s="146"/>
      <c r="AC67" s="146"/>
      <c r="AD67" s="146"/>
      <c r="AE67" s="146"/>
      <c r="AF67" s="146"/>
      <c r="AG67" s="146"/>
    </row>
    <row r="68" spans="13:33" ht="15.75">
      <c r="M68" s="161"/>
      <c r="N68" s="162"/>
      <c r="O68" s="146"/>
      <c r="P68" s="146"/>
      <c r="Q68" s="146"/>
      <c r="R68" s="146"/>
      <c r="S68" s="146"/>
      <c r="T68" s="146"/>
      <c r="U68" s="146"/>
      <c r="V68" s="146"/>
      <c r="W68" s="146"/>
      <c r="X68" s="146"/>
      <c r="Y68" s="146"/>
      <c r="Z68" s="146"/>
      <c r="AA68" s="146"/>
      <c r="AB68" s="146"/>
      <c r="AC68" s="146"/>
      <c r="AD68" s="146"/>
      <c r="AE68" s="146"/>
      <c r="AF68" s="146"/>
      <c r="AG68" s="146"/>
    </row>
    <row r="69" spans="13:33" ht="15.75">
      <c r="M69" s="161"/>
      <c r="N69" s="162"/>
      <c r="O69" s="146"/>
      <c r="P69" s="146"/>
      <c r="Q69" s="146"/>
      <c r="R69" s="146"/>
      <c r="S69" s="146"/>
      <c r="T69" s="146"/>
      <c r="U69" s="146"/>
      <c r="V69" s="146"/>
      <c r="W69" s="146"/>
      <c r="X69" s="146"/>
      <c r="Y69" s="146"/>
      <c r="Z69" s="146"/>
      <c r="AA69" s="146"/>
      <c r="AB69" s="146"/>
      <c r="AC69" s="146"/>
      <c r="AD69" s="146"/>
      <c r="AE69" s="146"/>
      <c r="AF69" s="146"/>
      <c r="AG69" s="146"/>
    </row>
    <row r="70" spans="13:33" ht="15.75">
      <c r="M70" s="161"/>
      <c r="N70" s="162"/>
      <c r="O70" s="146"/>
      <c r="P70" s="146"/>
      <c r="Q70" s="146"/>
      <c r="R70" s="146"/>
      <c r="S70" s="146"/>
      <c r="T70" s="146"/>
      <c r="U70" s="146"/>
      <c r="V70" s="146"/>
      <c r="W70" s="146"/>
      <c r="X70" s="146"/>
      <c r="Y70" s="146"/>
      <c r="Z70" s="146"/>
      <c r="AA70" s="146"/>
      <c r="AB70" s="146"/>
      <c r="AC70" s="146"/>
      <c r="AD70" s="146"/>
      <c r="AE70" s="146"/>
      <c r="AF70" s="146"/>
      <c r="AG70" s="146"/>
    </row>
    <row r="71" spans="13:33" ht="15.75">
      <c r="M71" s="161"/>
      <c r="N71" s="162"/>
      <c r="O71" s="146"/>
      <c r="P71" s="146"/>
      <c r="Q71" s="146"/>
      <c r="R71" s="146"/>
      <c r="S71" s="146"/>
      <c r="T71" s="146"/>
      <c r="U71" s="146"/>
      <c r="V71" s="146"/>
      <c r="W71" s="146"/>
      <c r="X71" s="146"/>
      <c r="Y71" s="146"/>
      <c r="Z71" s="146"/>
      <c r="AA71" s="146"/>
      <c r="AB71" s="146"/>
      <c r="AC71" s="146"/>
      <c r="AD71" s="146"/>
      <c r="AE71" s="146"/>
      <c r="AF71" s="146"/>
      <c r="AG71" s="146"/>
    </row>
    <row r="72" spans="13:33" ht="15.75">
      <c r="M72" s="161"/>
      <c r="N72" s="162"/>
      <c r="O72" s="146"/>
      <c r="P72" s="146"/>
      <c r="Q72" s="146"/>
      <c r="R72" s="146"/>
      <c r="S72" s="146"/>
      <c r="T72" s="146"/>
      <c r="U72" s="146"/>
      <c r="V72" s="146"/>
      <c r="W72" s="146"/>
      <c r="X72" s="146"/>
      <c r="Y72" s="146"/>
      <c r="Z72" s="146"/>
      <c r="AA72" s="146"/>
      <c r="AB72" s="146"/>
      <c r="AC72" s="146"/>
      <c r="AD72" s="146"/>
      <c r="AE72" s="146"/>
      <c r="AF72" s="146"/>
      <c r="AG72" s="146"/>
    </row>
    <row r="73" spans="13:33" ht="15.75">
      <c r="M73" s="161"/>
      <c r="N73" s="162"/>
      <c r="O73" s="146"/>
      <c r="P73" s="146"/>
      <c r="Q73" s="146"/>
      <c r="R73" s="146"/>
      <c r="S73" s="146"/>
      <c r="T73" s="146"/>
      <c r="U73" s="146"/>
      <c r="V73" s="146"/>
      <c r="W73" s="146"/>
      <c r="X73" s="146"/>
      <c r="Y73" s="146"/>
      <c r="Z73" s="146"/>
      <c r="AA73" s="146"/>
      <c r="AB73" s="146"/>
      <c r="AC73" s="146"/>
      <c r="AD73" s="146"/>
      <c r="AE73" s="146"/>
      <c r="AF73" s="146"/>
      <c r="AG73" s="146"/>
    </row>
    <row r="74" spans="13:33" ht="15.75">
      <c r="M74" s="161"/>
      <c r="N74" s="162"/>
      <c r="O74" s="146"/>
      <c r="P74" s="146"/>
      <c r="Q74" s="146"/>
      <c r="R74" s="146"/>
      <c r="S74" s="146"/>
      <c r="T74" s="146"/>
      <c r="U74" s="146"/>
      <c r="V74" s="146"/>
      <c r="W74" s="146"/>
      <c r="X74" s="146"/>
      <c r="Y74" s="146"/>
      <c r="Z74" s="146"/>
      <c r="AA74" s="146"/>
      <c r="AB74" s="146"/>
      <c r="AC74" s="146"/>
      <c r="AD74" s="146"/>
      <c r="AE74" s="146"/>
      <c r="AF74" s="146"/>
      <c r="AG74" s="146"/>
    </row>
    <row r="75" spans="13:33" ht="15.75">
      <c r="M75" s="161"/>
      <c r="N75" s="162"/>
      <c r="O75" s="146"/>
      <c r="P75" s="146"/>
      <c r="Q75" s="146"/>
      <c r="R75" s="146"/>
      <c r="S75" s="146"/>
      <c r="T75" s="146"/>
      <c r="U75" s="146"/>
      <c r="V75" s="146"/>
      <c r="W75" s="146"/>
      <c r="X75" s="146"/>
      <c r="Y75" s="146"/>
      <c r="Z75" s="146"/>
      <c r="AA75" s="146"/>
      <c r="AB75" s="146"/>
      <c r="AC75" s="146"/>
      <c r="AD75" s="146"/>
      <c r="AE75" s="146"/>
      <c r="AF75" s="146"/>
      <c r="AG75" s="146"/>
    </row>
    <row r="76" spans="13:33" ht="15.75">
      <c r="M76" s="161"/>
      <c r="N76" s="162"/>
      <c r="O76" s="146"/>
      <c r="P76" s="146"/>
      <c r="Q76" s="146"/>
      <c r="R76" s="146"/>
      <c r="S76" s="146"/>
      <c r="T76" s="146"/>
      <c r="U76" s="146"/>
      <c r="V76" s="146"/>
      <c r="W76" s="146"/>
      <c r="X76" s="146"/>
      <c r="Y76" s="146"/>
      <c r="Z76" s="146"/>
      <c r="AA76" s="146"/>
      <c r="AB76" s="146"/>
      <c r="AC76" s="146"/>
      <c r="AD76" s="146"/>
      <c r="AE76" s="146"/>
      <c r="AF76" s="146"/>
      <c r="AG76" s="146"/>
    </row>
    <row r="77" spans="13:33" ht="15.75">
      <c r="M77" s="161"/>
      <c r="N77" s="162"/>
      <c r="O77" s="146"/>
      <c r="P77" s="146"/>
      <c r="Q77" s="146"/>
      <c r="R77" s="146"/>
      <c r="S77" s="146"/>
      <c r="T77" s="146"/>
      <c r="U77" s="146"/>
      <c r="V77" s="146"/>
      <c r="W77" s="146"/>
      <c r="X77" s="146"/>
      <c r="Y77" s="146"/>
      <c r="Z77" s="146"/>
      <c r="AA77" s="146"/>
      <c r="AB77" s="146"/>
      <c r="AC77" s="146"/>
      <c r="AD77" s="146"/>
      <c r="AE77" s="146"/>
      <c r="AF77" s="146"/>
      <c r="AG77" s="146"/>
    </row>
    <row r="78" spans="13:33" ht="15.75">
      <c r="M78" s="161"/>
      <c r="N78" s="162"/>
      <c r="O78" s="146"/>
      <c r="P78" s="146"/>
      <c r="Q78" s="146"/>
      <c r="R78" s="146"/>
      <c r="S78" s="146"/>
      <c r="T78" s="146"/>
      <c r="U78" s="146"/>
      <c r="V78" s="146"/>
      <c r="W78" s="146"/>
      <c r="X78" s="146"/>
      <c r="Y78" s="146"/>
      <c r="Z78" s="146"/>
      <c r="AA78" s="146"/>
      <c r="AB78" s="146"/>
      <c r="AC78" s="146"/>
      <c r="AD78" s="146"/>
      <c r="AE78" s="146"/>
      <c r="AF78" s="146"/>
      <c r="AG78" s="146"/>
    </row>
    <row r="79" spans="13:33" ht="15.75">
      <c r="M79" s="161"/>
      <c r="N79" s="162"/>
      <c r="O79" s="146"/>
      <c r="P79" s="146"/>
      <c r="Q79" s="146"/>
      <c r="R79" s="146"/>
      <c r="S79" s="146"/>
      <c r="T79" s="146"/>
      <c r="U79" s="146"/>
      <c r="V79" s="146"/>
      <c r="W79" s="146"/>
      <c r="X79" s="146"/>
      <c r="Y79" s="146"/>
      <c r="Z79" s="146"/>
      <c r="AA79" s="146"/>
      <c r="AB79" s="146"/>
      <c r="AC79" s="146"/>
      <c r="AD79" s="146"/>
      <c r="AE79" s="146"/>
      <c r="AF79" s="146"/>
      <c r="AG79" s="146"/>
    </row>
    <row r="80" spans="13:33" ht="15.75">
      <c r="M80" s="161"/>
      <c r="N80" s="162"/>
      <c r="O80" s="146"/>
      <c r="P80" s="146"/>
      <c r="Q80" s="146"/>
      <c r="R80" s="146"/>
      <c r="S80" s="146"/>
      <c r="T80" s="146"/>
      <c r="U80" s="146"/>
      <c r="V80" s="146"/>
      <c r="W80" s="146"/>
      <c r="X80" s="146"/>
      <c r="Y80" s="146"/>
      <c r="Z80" s="146"/>
      <c r="AA80" s="146"/>
      <c r="AB80" s="146"/>
      <c r="AC80" s="146"/>
      <c r="AD80" s="146"/>
      <c r="AE80" s="146"/>
      <c r="AF80" s="146"/>
      <c r="AG80" s="146"/>
    </row>
    <row r="81" spans="13:33" ht="15.75">
      <c r="M81" s="161"/>
      <c r="N81" s="162"/>
      <c r="O81" s="146"/>
      <c r="P81" s="146"/>
      <c r="Q81" s="146"/>
      <c r="R81" s="146"/>
      <c r="S81" s="146"/>
      <c r="T81" s="146"/>
      <c r="U81" s="146"/>
      <c r="V81" s="146"/>
      <c r="W81" s="146"/>
      <c r="X81" s="146"/>
      <c r="Y81" s="146"/>
      <c r="Z81" s="146"/>
      <c r="AA81" s="146"/>
      <c r="AB81" s="146"/>
      <c r="AC81" s="146"/>
      <c r="AD81" s="146"/>
      <c r="AE81" s="146"/>
      <c r="AF81" s="146"/>
      <c r="AG81" s="146"/>
    </row>
    <row r="82" spans="13:33" ht="15.75">
      <c r="M82" s="161"/>
      <c r="N82" s="162"/>
      <c r="O82" s="146"/>
      <c r="P82" s="146"/>
      <c r="Q82" s="146"/>
      <c r="R82" s="146"/>
      <c r="S82" s="146"/>
      <c r="T82" s="146"/>
      <c r="U82" s="146"/>
      <c r="V82" s="146"/>
      <c r="W82" s="146"/>
      <c r="X82" s="146"/>
      <c r="Y82" s="146"/>
      <c r="Z82" s="146"/>
      <c r="AA82" s="146"/>
      <c r="AB82" s="146"/>
      <c r="AC82" s="146"/>
      <c r="AD82" s="146"/>
      <c r="AE82" s="146"/>
      <c r="AF82" s="146"/>
      <c r="AG82" s="146"/>
    </row>
    <row r="83" spans="13:33" ht="15.75">
      <c r="M83" s="161"/>
      <c r="N83" s="162"/>
      <c r="O83" s="146"/>
      <c r="P83" s="146"/>
      <c r="Q83" s="146"/>
      <c r="R83" s="146"/>
      <c r="S83" s="146"/>
      <c r="T83" s="146"/>
      <c r="U83" s="146"/>
      <c r="V83" s="146"/>
      <c r="W83" s="146"/>
      <c r="X83" s="146"/>
      <c r="Y83" s="146"/>
      <c r="Z83" s="146"/>
      <c r="AA83" s="146"/>
      <c r="AB83" s="146"/>
      <c r="AC83" s="146"/>
      <c r="AD83" s="146"/>
      <c r="AE83" s="146"/>
      <c r="AF83" s="146"/>
      <c r="AG83" s="146"/>
    </row>
    <row r="84" spans="13:33" ht="15.75">
      <c r="M84" s="161"/>
      <c r="N84" s="162"/>
      <c r="O84" s="146"/>
      <c r="P84" s="146"/>
      <c r="Q84" s="146"/>
      <c r="R84" s="146"/>
      <c r="S84" s="146"/>
      <c r="T84" s="146"/>
      <c r="U84" s="146"/>
      <c r="V84" s="146"/>
      <c r="W84" s="146"/>
      <c r="X84" s="146"/>
      <c r="Y84" s="146"/>
      <c r="Z84" s="146"/>
      <c r="AA84" s="146"/>
      <c r="AB84" s="146"/>
      <c r="AC84" s="146"/>
      <c r="AD84" s="146"/>
      <c r="AE84" s="146"/>
      <c r="AF84" s="146"/>
      <c r="AG84" s="146"/>
    </row>
    <row r="85" spans="13:33" ht="15.75">
      <c r="M85" s="161"/>
      <c r="N85" s="162"/>
      <c r="O85" s="146"/>
      <c r="P85" s="146"/>
      <c r="Q85" s="146"/>
      <c r="R85" s="146"/>
      <c r="S85" s="146"/>
      <c r="T85" s="146"/>
      <c r="U85" s="146"/>
      <c r="V85" s="146"/>
      <c r="W85" s="146"/>
      <c r="X85" s="146"/>
      <c r="Y85" s="146"/>
      <c r="Z85" s="146"/>
      <c r="AA85" s="146"/>
      <c r="AB85" s="146"/>
      <c r="AC85" s="146"/>
      <c r="AD85" s="146"/>
      <c r="AE85" s="146"/>
      <c r="AF85" s="146"/>
      <c r="AG85" s="146"/>
    </row>
    <row r="86" spans="13:33" ht="15.75">
      <c r="M86" s="161"/>
      <c r="N86" s="162"/>
      <c r="O86" s="146"/>
      <c r="P86" s="146"/>
      <c r="Q86" s="146"/>
      <c r="R86" s="146"/>
      <c r="S86" s="146"/>
      <c r="T86" s="146"/>
      <c r="U86" s="146"/>
      <c r="V86" s="146"/>
      <c r="W86" s="146"/>
      <c r="X86" s="146"/>
      <c r="Y86" s="146"/>
      <c r="Z86" s="146"/>
      <c r="AA86" s="146"/>
      <c r="AB86" s="146"/>
      <c r="AC86" s="146"/>
      <c r="AD86" s="146"/>
      <c r="AE86" s="146"/>
      <c r="AF86" s="146"/>
      <c r="AG86" s="146"/>
    </row>
    <row r="87" spans="13:33" ht="15.75">
      <c r="M87" s="161"/>
      <c r="N87" s="162"/>
      <c r="O87" s="146"/>
      <c r="P87" s="146"/>
      <c r="Q87" s="146"/>
      <c r="R87" s="146"/>
      <c r="S87" s="146"/>
      <c r="T87" s="146"/>
      <c r="U87" s="146"/>
      <c r="V87" s="146"/>
      <c r="W87" s="146"/>
      <c r="X87" s="146"/>
      <c r="Y87" s="146"/>
      <c r="Z87" s="146"/>
      <c r="AA87" s="146"/>
      <c r="AB87" s="146"/>
      <c r="AC87" s="146"/>
      <c r="AD87" s="146"/>
      <c r="AE87" s="146"/>
      <c r="AF87" s="146"/>
      <c r="AG87" s="146"/>
    </row>
    <row r="88" spans="13:33" ht="15.75">
      <c r="M88" s="161"/>
      <c r="N88" s="162"/>
      <c r="O88" s="146"/>
      <c r="P88" s="146"/>
      <c r="Q88" s="146"/>
      <c r="R88" s="146"/>
      <c r="S88" s="146"/>
      <c r="T88" s="146"/>
      <c r="U88" s="146"/>
      <c r="V88" s="146"/>
      <c r="W88" s="146"/>
      <c r="X88" s="146"/>
      <c r="Y88" s="146"/>
      <c r="Z88" s="146"/>
      <c r="AA88" s="146"/>
      <c r="AB88" s="146"/>
      <c r="AC88" s="146"/>
      <c r="AD88" s="146"/>
      <c r="AE88" s="146"/>
      <c r="AF88" s="146"/>
      <c r="AG88" s="146"/>
    </row>
    <row r="89" spans="13:33" ht="15.75">
      <c r="M89" s="161"/>
      <c r="N89" s="162"/>
      <c r="O89" s="146"/>
      <c r="P89" s="146"/>
      <c r="Q89" s="146"/>
      <c r="R89" s="146"/>
      <c r="S89" s="146"/>
      <c r="T89" s="146"/>
      <c r="U89" s="146"/>
      <c r="V89" s="146"/>
      <c r="W89" s="146"/>
      <c r="X89" s="146"/>
      <c r="Y89" s="146"/>
      <c r="Z89" s="146"/>
      <c r="AA89" s="146"/>
      <c r="AB89" s="146"/>
      <c r="AC89" s="146"/>
      <c r="AD89" s="146"/>
      <c r="AE89" s="146"/>
      <c r="AF89" s="146"/>
      <c r="AG89" s="146"/>
    </row>
    <row r="90" spans="13:33" ht="15.75">
      <c r="M90" s="161"/>
      <c r="N90" s="162"/>
      <c r="O90" s="146"/>
      <c r="P90" s="146"/>
      <c r="Q90" s="146"/>
      <c r="R90" s="146"/>
      <c r="S90" s="146"/>
      <c r="T90" s="146"/>
      <c r="U90" s="146"/>
      <c r="V90" s="146"/>
      <c r="W90" s="146"/>
      <c r="X90" s="146"/>
      <c r="Y90" s="146"/>
      <c r="Z90" s="146"/>
      <c r="AA90" s="146"/>
      <c r="AB90" s="146"/>
      <c r="AC90" s="146"/>
      <c r="AD90" s="146"/>
      <c r="AE90" s="146"/>
      <c r="AF90" s="146"/>
      <c r="AG90" s="146"/>
    </row>
    <row r="91" spans="13:33" ht="15.75">
      <c r="M91" s="161"/>
      <c r="N91" s="162"/>
      <c r="O91" s="146"/>
      <c r="P91" s="146"/>
      <c r="Q91" s="146"/>
      <c r="R91" s="146"/>
      <c r="S91" s="146"/>
      <c r="T91" s="146"/>
      <c r="U91" s="146"/>
      <c r="V91" s="146"/>
      <c r="W91" s="146"/>
      <c r="X91" s="146"/>
      <c r="Y91" s="146"/>
      <c r="Z91" s="146"/>
      <c r="AA91" s="146"/>
      <c r="AB91" s="146"/>
      <c r="AC91" s="146"/>
      <c r="AD91" s="146"/>
      <c r="AE91" s="146"/>
      <c r="AF91" s="146"/>
      <c r="AG91" s="146"/>
    </row>
    <row r="92" spans="13:33" ht="15.75">
      <c r="M92" s="161"/>
      <c r="N92" s="162"/>
      <c r="O92" s="146"/>
      <c r="P92" s="146"/>
      <c r="Q92" s="146"/>
      <c r="R92" s="146"/>
      <c r="S92" s="146"/>
      <c r="T92" s="146"/>
      <c r="U92" s="146"/>
      <c r="V92" s="146"/>
      <c r="W92" s="146"/>
      <c r="X92" s="146"/>
      <c r="Y92" s="146"/>
      <c r="Z92" s="146"/>
      <c r="AA92" s="146"/>
      <c r="AB92" s="146"/>
      <c r="AC92" s="146"/>
      <c r="AD92" s="146"/>
      <c r="AE92" s="146"/>
      <c r="AF92" s="146"/>
      <c r="AG92" s="146"/>
    </row>
    <row r="93" spans="13:33" ht="15.75">
      <c r="M93" s="161"/>
      <c r="N93" s="162"/>
      <c r="O93" s="146"/>
      <c r="P93" s="146"/>
      <c r="Q93" s="146"/>
      <c r="R93" s="146"/>
      <c r="S93" s="146"/>
      <c r="T93" s="146"/>
      <c r="U93" s="146"/>
      <c r="V93" s="146"/>
      <c r="W93" s="146"/>
      <c r="X93" s="146"/>
      <c r="Y93" s="146"/>
      <c r="Z93" s="146"/>
      <c r="AA93" s="146"/>
      <c r="AB93" s="146"/>
      <c r="AC93" s="146"/>
      <c r="AD93" s="146"/>
      <c r="AE93" s="146"/>
      <c r="AF93" s="146"/>
      <c r="AG93" s="146"/>
    </row>
    <row r="94" spans="13:33" ht="15.75">
      <c r="M94" s="161"/>
      <c r="N94" s="162"/>
      <c r="O94" s="146"/>
      <c r="P94" s="146"/>
      <c r="Q94" s="146"/>
      <c r="R94" s="146"/>
      <c r="S94" s="146"/>
      <c r="T94" s="146"/>
      <c r="U94" s="146"/>
      <c r="V94" s="146"/>
      <c r="W94" s="146"/>
      <c r="X94" s="146"/>
      <c r="Y94" s="146"/>
      <c r="Z94" s="146"/>
      <c r="AA94" s="146"/>
      <c r="AB94" s="146"/>
      <c r="AC94" s="146"/>
      <c r="AD94" s="146"/>
      <c r="AE94" s="146"/>
      <c r="AF94" s="146"/>
      <c r="AG94" s="146"/>
    </row>
    <row r="95" spans="13:33" ht="15.75">
      <c r="M95" s="161"/>
      <c r="N95" s="162"/>
      <c r="O95" s="146"/>
      <c r="P95" s="146"/>
      <c r="Q95" s="146"/>
      <c r="R95" s="146"/>
      <c r="S95" s="146"/>
      <c r="T95" s="146"/>
      <c r="U95" s="146"/>
      <c r="V95" s="146"/>
      <c r="W95" s="146"/>
      <c r="X95" s="146"/>
      <c r="Y95" s="146"/>
      <c r="Z95" s="146"/>
      <c r="AA95" s="146"/>
      <c r="AB95" s="146"/>
      <c r="AC95" s="146"/>
      <c r="AD95" s="146"/>
      <c r="AE95" s="146"/>
      <c r="AF95" s="146"/>
      <c r="AG95" s="146"/>
    </row>
    <row r="96" spans="13:33" ht="15.75">
      <c r="M96" s="161"/>
      <c r="N96" s="162"/>
      <c r="O96" s="146"/>
      <c r="P96" s="146"/>
      <c r="Q96" s="146"/>
      <c r="R96" s="146"/>
      <c r="S96" s="146"/>
      <c r="T96" s="146"/>
      <c r="U96" s="146"/>
      <c r="V96" s="146"/>
      <c r="W96" s="146"/>
      <c r="X96" s="146"/>
      <c r="Y96" s="146"/>
      <c r="Z96" s="146"/>
      <c r="AA96" s="146"/>
      <c r="AB96" s="146"/>
      <c r="AC96" s="146"/>
      <c r="AD96" s="146"/>
      <c r="AE96" s="146"/>
      <c r="AF96" s="146"/>
      <c r="AG96" s="146"/>
    </row>
    <row r="97" spans="13:33" ht="15.75">
      <c r="M97" s="161"/>
      <c r="N97" s="162"/>
      <c r="O97" s="146"/>
      <c r="P97" s="146"/>
      <c r="Q97" s="146"/>
      <c r="R97" s="146"/>
      <c r="S97" s="146"/>
      <c r="T97" s="146"/>
      <c r="U97" s="146"/>
      <c r="V97" s="146"/>
      <c r="W97" s="146"/>
      <c r="X97" s="146"/>
      <c r="Y97" s="146"/>
      <c r="Z97" s="146"/>
      <c r="AA97" s="146"/>
      <c r="AB97" s="146"/>
      <c r="AC97" s="146"/>
      <c r="AD97" s="146"/>
      <c r="AE97" s="146"/>
      <c r="AF97" s="146"/>
      <c r="AG97" s="146"/>
    </row>
    <row r="98" spans="13:33" ht="15.75">
      <c r="M98" s="161"/>
      <c r="N98" s="162"/>
      <c r="O98" s="146"/>
      <c r="P98" s="146"/>
      <c r="Q98" s="146"/>
      <c r="R98" s="146"/>
      <c r="S98" s="146"/>
      <c r="T98" s="146"/>
      <c r="U98" s="146"/>
      <c r="V98" s="146"/>
      <c r="W98" s="146"/>
      <c r="X98" s="146"/>
      <c r="Y98" s="146"/>
      <c r="Z98" s="146"/>
      <c r="AA98" s="146"/>
      <c r="AB98" s="146"/>
      <c r="AC98" s="146"/>
      <c r="AD98" s="146"/>
      <c r="AE98" s="146"/>
      <c r="AF98" s="146"/>
      <c r="AG98" s="146"/>
    </row>
    <row r="99" spans="13:33" ht="15.75">
      <c r="M99" s="161"/>
      <c r="N99" s="162"/>
      <c r="O99" s="146"/>
      <c r="P99" s="146"/>
      <c r="Q99" s="146"/>
      <c r="R99" s="146"/>
      <c r="S99" s="146"/>
      <c r="T99" s="146"/>
      <c r="U99" s="146"/>
      <c r="V99" s="146"/>
      <c r="W99" s="146"/>
      <c r="X99" s="146"/>
      <c r="Y99" s="146"/>
      <c r="Z99" s="146"/>
      <c r="AA99" s="146"/>
      <c r="AB99" s="146"/>
      <c r="AC99" s="146"/>
      <c r="AD99" s="146"/>
      <c r="AE99" s="146"/>
      <c r="AF99" s="146"/>
      <c r="AG99" s="146"/>
    </row>
    <row r="100" spans="13:33" ht="15.75">
      <c r="M100" s="161"/>
      <c r="N100" s="162"/>
      <c r="O100" s="146"/>
      <c r="P100" s="146"/>
      <c r="Q100" s="146"/>
      <c r="R100" s="146"/>
      <c r="S100" s="146"/>
      <c r="T100" s="146"/>
      <c r="U100" s="146"/>
      <c r="V100" s="146"/>
      <c r="W100" s="146"/>
      <c r="X100" s="146"/>
      <c r="Y100" s="146"/>
      <c r="Z100" s="146"/>
      <c r="AA100" s="146"/>
      <c r="AB100" s="146"/>
      <c r="AC100" s="146"/>
      <c r="AD100" s="146"/>
      <c r="AE100" s="146"/>
      <c r="AF100" s="146"/>
      <c r="AG100" s="146"/>
    </row>
    <row r="101" spans="13:33" ht="15.75">
      <c r="M101" s="161"/>
      <c r="N101" s="162"/>
      <c r="O101" s="146"/>
      <c r="P101" s="146"/>
      <c r="Q101" s="146"/>
      <c r="R101" s="146"/>
      <c r="S101" s="146"/>
      <c r="T101" s="146"/>
      <c r="U101" s="146"/>
      <c r="V101" s="146"/>
      <c r="W101" s="146"/>
      <c r="X101" s="146"/>
      <c r="Y101" s="146"/>
      <c r="Z101" s="146"/>
      <c r="AA101" s="146"/>
      <c r="AB101" s="146"/>
      <c r="AC101" s="146"/>
      <c r="AD101" s="146"/>
      <c r="AE101" s="146"/>
      <c r="AF101" s="146"/>
      <c r="AG101" s="146"/>
    </row>
    <row r="102" spans="13:33" ht="15.75">
      <c r="M102" s="161"/>
      <c r="N102" s="162"/>
      <c r="O102" s="146"/>
      <c r="P102" s="146"/>
      <c r="Q102" s="146"/>
      <c r="R102" s="146"/>
      <c r="S102" s="146"/>
      <c r="T102" s="146"/>
      <c r="U102" s="146"/>
      <c r="V102" s="146"/>
      <c r="W102" s="146"/>
      <c r="X102" s="146"/>
      <c r="Y102" s="146"/>
      <c r="Z102" s="146"/>
      <c r="AA102" s="146"/>
      <c r="AB102" s="146"/>
      <c r="AC102" s="146"/>
      <c r="AD102" s="146"/>
      <c r="AE102" s="146"/>
      <c r="AF102" s="146"/>
      <c r="AG102" s="146"/>
    </row>
    <row r="103" spans="13:33" ht="15.75">
      <c r="M103" s="161"/>
      <c r="N103" s="162"/>
      <c r="O103" s="146"/>
      <c r="P103" s="146"/>
      <c r="Q103" s="146"/>
      <c r="R103" s="146"/>
      <c r="S103" s="146"/>
      <c r="T103" s="146"/>
      <c r="U103" s="146"/>
      <c r="V103" s="146"/>
      <c r="W103" s="146"/>
      <c r="X103" s="146"/>
      <c r="Y103" s="146"/>
      <c r="Z103" s="146"/>
      <c r="AA103" s="146"/>
      <c r="AB103" s="146"/>
      <c r="AC103" s="146"/>
      <c r="AD103" s="146"/>
      <c r="AE103" s="146"/>
      <c r="AF103" s="146"/>
      <c r="AG103" s="146"/>
    </row>
    <row r="104" spans="13:33" ht="15.75">
      <c r="M104" s="161"/>
      <c r="N104" s="162"/>
      <c r="O104" s="146"/>
      <c r="P104" s="146"/>
      <c r="Q104" s="146"/>
      <c r="R104" s="146"/>
      <c r="S104" s="146"/>
      <c r="T104" s="146"/>
      <c r="U104" s="146"/>
      <c r="V104" s="146"/>
      <c r="W104" s="146"/>
      <c r="X104" s="146"/>
      <c r="Y104" s="146"/>
      <c r="Z104" s="146"/>
      <c r="AA104" s="146"/>
      <c r="AB104" s="146"/>
      <c r="AC104" s="146"/>
      <c r="AD104" s="146"/>
      <c r="AE104" s="146"/>
      <c r="AF104" s="146"/>
      <c r="AG104" s="146"/>
    </row>
    <row r="105" spans="13:33" ht="15.75">
      <c r="M105" s="161"/>
      <c r="N105" s="162"/>
      <c r="O105" s="146"/>
      <c r="P105" s="146"/>
      <c r="Q105" s="146"/>
      <c r="R105" s="146"/>
      <c r="S105" s="146"/>
      <c r="T105" s="146"/>
      <c r="U105" s="146"/>
      <c r="V105" s="146"/>
      <c r="W105" s="146"/>
      <c r="X105" s="146"/>
      <c r="Y105" s="146"/>
      <c r="Z105" s="146"/>
      <c r="AA105" s="146"/>
      <c r="AB105" s="146"/>
      <c r="AC105" s="146"/>
      <c r="AD105" s="146"/>
      <c r="AE105" s="146"/>
      <c r="AF105" s="146"/>
      <c r="AG105" s="146"/>
    </row>
    <row r="106" spans="13:33" ht="15.75">
      <c r="M106" s="161"/>
      <c r="N106" s="162"/>
      <c r="O106" s="146"/>
      <c r="P106" s="146"/>
      <c r="Q106" s="146"/>
      <c r="R106" s="146"/>
      <c r="S106" s="146"/>
      <c r="T106" s="146"/>
      <c r="U106" s="146"/>
      <c r="V106" s="146"/>
      <c r="W106" s="146"/>
      <c r="X106" s="146"/>
      <c r="Y106" s="146"/>
      <c r="Z106" s="146"/>
      <c r="AA106" s="146"/>
      <c r="AB106" s="146"/>
      <c r="AC106" s="146"/>
      <c r="AD106" s="146"/>
      <c r="AE106" s="146"/>
      <c r="AF106" s="146"/>
      <c r="AG106" s="146"/>
    </row>
    <row r="107" spans="13:33" ht="15.75">
      <c r="M107" s="161"/>
      <c r="N107" s="162"/>
      <c r="O107" s="146"/>
      <c r="P107" s="146"/>
      <c r="Q107" s="146"/>
      <c r="R107" s="146"/>
      <c r="S107" s="146"/>
      <c r="T107" s="146"/>
      <c r="U107" s="146"/>
      <c r="V107" s="146"/>
      <c r="W107" s="146"/>
      <c r="X107" s="146"/>
      <c r="Y107" s="146"/>
      <c r="Z107" s="146"/>
      <c r="AA107" s="146"/>
      <c r="AB107" s="146"/>
      <c r="AC107" s="146"/>
      <c r="AD107" s="146"/>
      <c r="AE107" s="146"/>
      <c r="AF107" s="146"/>
      <c r="AG107" s="146"/>
    </row>
    <row r="108" spans="13:33" ht="15.75">
      <c r="M108" s="161"/>
      <c r="N108" s="162"/>
      <c r="O108" s="146"/>
      <c r="P108" s="146"/>
      <c r="Q108" s="146"/>
      <c r="R108" s="146"/>
      <c r="S108" s="146"/>
      <c r="T108" s="146"/>
      <c r="U108" s="146"/>
      <c r="V108" s="146"/>
      <c r="W108" s="146"/>
      <c r="X108" s="146"/>
      <c r="Y108" s="146"/>
      <c r="Z108" s="146"/>
      <c r="AA108" s="146"/>
      <c r="AB108" s="146"/>
      <c r="AC108" s="146"/>
      <c r="AD108" s="146"/>
      <c r="AE108" s="146"/>
      <c r="AF108" s="146"/>
      <c r="AG108" s="146"/>
    </row>
    <row r="109" spans="13:33" ht="15.75">
      <c r="M109" s="161"/>
      <c r="N109" s="162"/>
      <c r="O109" s="146"/>
      <c r="P109" s="146"/>
      <c r="Q109" s="146"/>
      <c r="R109" s="146"/>
      <c r="S109" s="146"/>
      <c r="T109" s="146"/>
      <c r="U109" s="146"/>
      <c r="V109" s="146"/>
      <c r="W109" s="146"/>
      <c r="X109" s="146"/>
      <c r="Y109" s="146"/>
      <c r="Z109" s="146"/>
      <c r="AA109" s="146"/>
      <c r="AB109" s="146"/>
      <c r="AC109" s="146"/>
      <c r="AD109" s="146"/>
      <c r="AE109" s="146"/>
      <c r="AF109" s="146"/>
      <c r="AG109" s="146"/>
    </row>
    <row r="110" spans="13:33" ht="15.75">
      <c r="M110" s="161"/>
      <c r="N110" s="162"/>
      <c r="O110" s="146"/>
      <c r="P110" s="146"/>
      <c r="Q110" s="146"/>
      <c r="R110" s="146"/>
      <c r="S110" s="146"/>
      <c r="T110" s="146"/>
      <c r="U110" s="146"/>
      <c r="V110" s="146"/>
      <c r="W110" s="146"/>
      <c r="X110" s="146"/>
      <c r="Y110" s="146"/>
      <c r="Z110" s="146"/>
      <c r="AA110" s="146"/>
      <c r="AB110" s="146"/>
      <c r="AC110" s="146"/>
      <c r="AD110" s="146"/>
      <c r="AE110" s="146"/>
      <c r="AF110" s="146"/>
      <c r="AG110" s="146"/>
    </row>
    <row r="111" spans="13:33" ht="15.75">
      <c r="M111" s="161"/>
      <c r="N111" s="162"/>
      <c r="O111" s="146"/>
      <c r="P111" s="146"/>
      <c r="Q111" s="146"/>
      <c r="R111" s="146"/>
      <c r="S111" s="146"/>
      <c r="T111" s="146"/>
      <c r="U111" s="146"/>
      <c r="V111" s="146"/>
      <c r="W111" s="146"/>
      <c r="X111" s="146"/>
      <c r="Y111" s="146"/>
      <c r="Z111" s="146"/>
      <c r="AA111" s="146"/>
      <c r="AB111" s="146"/>
      <c r="AC111" s="146"/>
      <c r="AD111" s="146"/>
      <c r="AE111" s="146"/>
      <c r="AF111" s="146"/>
      <c r="AG111" s="146"/>
    </row>
    <row r="112" spans="13:33" ht="15.75">
      <c r="M112" s="161"/>
      <c r="N112" s="162"/>
      <c r="O112" s="146"/>
      <c r="P112" s="146"/>
      <c r="Q112" s="146"/>
      <c r="R112" s="146"/>
      <c r="S112" s="146"/>
      <c r="T112" s="146"/>
      <c r="U112" s="146"/>
      <c r="V112" s="146"/>
      <c r="W112" s="146"/>
      <c r="X112" s="146"/>
      <c r="Y112" s="146"/>
      <c r="Z112" s="146"/>
      <c r="AA112" s="146"/>
      <c r="AB112" s="146"/>
      <c r="AC112" s="146"/>
      <c r="AD112" s="146"/>
      <c r="AE112" s="146"/>
      <c r="AF112" s="146"/>
      <c r="AG112" s="146"/>
    </row>
    <row r="113" spans="13:33" ht="15.75">
      <c r="M113" s="161"/>
      <c r="N113" s="162"/>
      <c r="O113" s="146"/>
      <c r="P113" s="146"/>
      <c r="Q113" s="146"/>
      <c r="R113" s="146"/>
      <c r="S113" s="146"/>
      <c r="T113" s="146"/>
      <c r="U113" s="146"/>
      <c r="V113" s="146"/>
      <c r="W113" s="146"/>
      <c r="X113" s="146"/>
      <c r="Y113" s="146"/>
      <c r="Z113" s="146"/>
      <c r="AA113" s="146"/>
      <c r="AB113" s="146"/>
      <c r="AC113" s="146"/>
      <c r="AD113" s="146"/>
      <c r="AE113" s="146"/>
      <c r="AF113" s="146"/>
      <c r="AG113" s="146"/>
    </row>
    <row r="114" spans="13:33" ht="15.75">
      <c r="M114" s="161"/>
      <c r="N114" s="162"/>
      <c r="O114" s="146"/>
      <c r="P114" s="146"/>
      <c r="Q114" s="146"/>
      <c r="R114" s="146"/>
      <c r="S114" s="146"/>
      <c r="T114" s="146"/>
      <c r="U114" s="146"/>
      <c r="V114" s="146"/>
      <c r="W114" s="146"/>
      <c r="X114" s="146"/>
      <c r="Y114" s="146"/>
      <c r="Z114" s="146"/>
      <c r="AA114" s="146"/>
      <c r="AB114" s="146"/>
      <c r="AC114" s="146"/>
      <c r="AD114" s="146"/>
      <c r="AE114" s="146"/>
      <c r="AF114" s="146"/>
      <c r="AG114" s="146"/>
    </row>
    <row r="115" spans="13:33" ht="15.75">
      <c r="M115" s="161"/>
      <c r="N115" s="162"/>
      <c r="O115" s="146"/>
      <c r="P115" s="146"/>
      <c r="Q115" s="146"/>
      <c r="R115" s="146"/>
      <c r="S115" s="146"/>
      <c r="T115" s="146"/>
      <c r="U115" s="146"/>
      <c r="V115" s="146"/>
      <c r="W115" s="146"/>
      <c r="X115" s="146"/>
      <c r="Y115" s="146"/>
      <c r="Z115" s="146"/>
      <c r="AA115" s="146"/>
      <c r="AB115" s="146"/>
      <c r="AC115" s="146"/>
      <c r="AD115" s="146"/>
      <c r="AE115" s="146"/>
      <c r="AF115" s="146"/>
      <c r="AG115" s="146"/>
    </row>
    <row r="116" spans="13:33" ht="15.75">
      <c r="M116" s="161"/>
      <c r="N116" s="162"/>
      <c r="O116" s="146"/>
      <c r="P116" s="146"/>
      <c r="Q116" s="146"/>
      <c r="R116" s="146"/>
      <c r="S116" s="146"/>
      <c r="T116" s="146"/>
      <c r="U116" s="146"/>
      <c r="V116" s="146"/>
      <c r="W116" s="146"/>
      <c r="X116" s="146"/>
      <c r="Y116" s="146"/>
      <c r="Z116" s="146"/>
      <c r="AA116" s="146"/>
      <c r="AB116" s="146"/>
      <c r="AC116" s="146"/>
      <c r="AD116" s="146"/>
      <c r="AE116" s="146"/>
      <c r="AF116" s="146"/>
      <c r="AG116" s="146"/>
    </row>
    <row r="117" spans="13:33" ht="15.75">
      <c r="M117" s="161"/>
      <c r="N117" s="162"/>
      <c r="O117" s="146"/>
      <c r="P117" s="146"/>
      <c r="Q117" s="146"/>
      <c r="R117" s="146"/>
      <c r="S117" s="146"/>
      <c r="T117" s="146"/>
      <c r="U117" s="146"/>
      <c r="V117" s="146"/>
      <c r="W117" s="146"/>
      <c r="X117" s="146"/>
      <c r="Y117" s="146"/>
      <c r="Z117" s="146"/>
      <c r="AA117" s="146"/>
      <c r="AB117" s="146"/>
      <c r="AC117" s="146"/>
      <c r="AD117" s="146"/>
      <c r="AE117" s="146"/>
      <c r="AF117" s="146"/>
      <c r="AG117" s="146"/>
    </row>
    <row r="118" spans="13:33" ht="15.75">
      <c r="M118" s="161"/>
      <c r="N118" s="162"/>
      <c r="O118" s="146"/>
      <c r="P118" s="146"/>
      <c r="Q118" s="146"/>
      <c r="R118" s="146"/>
      <c r="S118" s="146"/>
      <c r="T118" s="146"/>
      <c r="U118" s="146"/>
      <c r="V118" s="146"/>
      <c r="W118" s="146"/>
      <c r="X118" s="146"/>
      <c r="Y118" s="146"/>
      <c r="Z118" s="146"/>
      <c r="AA118" s="146"/>
      <c r="AB118" s="146"/>
      <c r="AC118" s="146"/>
      <c r="AD118" s="146"/>
      <c r="AE118" s="146"/>
      <c r="AF118" s="146"/>
      <c r="AG118" s="146"/>
    </row>
    <row r="119" spans="13:33" ht="15.75">
      <c r="M119" s="161"/>
      <c r="N119" s="162"/>
      <c r="O119" s="146"/>
      <c r="P119" s="146"/>
      <c r="Q119" s="146"/>
      <c r="R119" s="146"/>
      <c r="S119" s="146"/>
      <c r="T119" s="146"/>
      <c r="U119" s="146"/>
      <c r="V119" s="146"/>
      <c r="W119" s="146"/>
      <c r="X119" s="146"/>
      <c r="Y119" s="146"/>
      <c r="Z119" s="146"/>
      <c r="AA119" s="146"/>
      <c r="AB119" s="146"/>
      <c r="AC119" s="146"/>
      <c r="AD119" s="146"/>
      <c r="AE119" s="146"/>
      <c r="AF119" s="146"/>
      <c r="AG119" s="146"/>
    </row>
    <row r="120" spans="13:33" ht="15.75">
      <c r="M120" s="161"/>
      <c r="N120" s="162"/>
      <c r="O120" s="146"/>
      <c r="P120" s="146"/>
      <c r="Q120" s="146"/>
      <c r="R120" s="146"/>
      <c r="S120" s="146"/>
      <c r="T120" s="146"/>
      <c r="U120" s="146"/>
      <c r="V120" s="146"/>
      <c r="W120" s="146"/>
      <c r="X120" s="146"/>
      <c r="Y120" s="146"/>
      <c r="Z120" s="146"/>
      <c r="AA120" s="146"/>
      <c r="AB120" s="146"/>
      <c r="AC120" s="146"/>
      <c r="AD120" s="146"/>
      <c r="AE120" s="146"/>
      <c r="AF120" s="146"/>
      <c r="AG120" s="146"/>
    </row>
    <row r="121" spans="13:33" ht="15.75">
      <c r="M121" s="161"/>
      <c r="N121" s="162"/>
      <c r="O121" s="146"/>
      <c r="P121" s="146"/>
      <c r="Q121" s="146"/>
      <c r="R121" s="146"/>
      <c r="S121" s="146"/>
      <c r="T121" s="146"/>
      <c r="U121" s="146"/>
      <c r="V121" s="146"/>
      <c r="W121" s="146"/>
      <c r="X121" s="146"/>
      <c r="Y121" s="146"/>
      <c r="Z121" s="146"/>
      <c r="AA121" s="146"/>
      <c r="AB121" s="146"/>
      <c r="AC121" s="146"/>
      <c r="AD121" s="146"/>
      <c r="AE121" s="146"/>
      <c r="AF121" s="146"/>
      <c r="AG121" s="146"/>
    </row>
    <row r="122" spans="13:33" ht="15.75">
      <c r="M122" s="161"/>
      <c r="N122" s="162"/>
      <c r="O122" s="146"/>
      <c r="P122" s="146"/>
      <c r="Q122" s="146"/>
      <c r="R122" s="146"/>
      <c r="S122" s="146"/>
      <c r="T122" s="146"/>
      <c r="U122" s="146"/>
      <c r="V122" s="146"/>
      <c r="W122" s="146"/>
      <c r="X122" s="146"/>
      <c r="Y122" s="146"/>
      <c r="Z122" s="146"/>
      <c r="AA122" s="146"/>
      <c r="AB122" s="146"/>
      <c r="AC122" s="146"/>
      <c r="AD122" s="146"/>
      <c r="AE122" s="146"/>
      <c r="AF122" s="146"/>
      <c r="AG122" s="146"/>
    </row>
    <row r="123" spans="13:33" ht="15.75">
      <c r="M123" s="161"/>
      <c r="N123" s="162"/>
      <c r="O123" s="146"/>
      <c r="P123" s="146"/>
      <c r="Q123" s="146"/>
      <c r="R123" s="146"/>
      <c r="S123" s="146"/>
      <c r="T123" s="146"/>
      <c r="U123" s="146"/>
      <c r="V123" s="146"/>
      <c r="W123" s="146"/>
      <c r="X123" s="146"/>
      <c r="Y123" s="146"/>
      <c r="Z123" s="146"/>
      <c r="AA123" s="146"/>
      <c r="AB123" s="146"/>
      <c r="AC123" s="146"/>
      <c r="AD123" s="146"/>
      <c r="AE123" s="146"/>
      <c r="AF123" s="146"/>
      <c r="AG123" s="146"/>
    </row>
    <row r="124" spans="13:33" ht="15.75">
      <c r="M124" s="161"/>
      <c r="N124" s="162"/>
      <c r="O124" s="146"/>
      <c r="P124" s="146"/>
      <c r="Q124" s="146"/>
      <c r="R124" s="146"/>
      <c r="S124" s="146"/>
      <c r="T124" s="146"/>
      <c r="U124" s="146"/>
      <c r="V124" s="146"/>
      <c r="W124" s="146"/>
      <c r="X124" s="146"/>
      <c r="Y124" s="146"/>
      <c r="Z124" s="146"/>
      <c r="AA124" s="146"/>
      <c r="AB124" s="146"/>
      <c r="AC124" s="146"/>
      <c r="AD124" s="146"/>
      <c r="AE124" s="146"/>
      <c r="AF124" s="146"/>
      <c r="AG124" s="146"/>
    </row>
    <row r="125" spans="13:33" ht="15.75">
      <c r="M125" s="161"/>
      <c r="N125" s="162"/>
      <c r="O125" s="146"/>
      <c r="P125" s="146"/>
      <c r="Q125" s="146"/>
      <c r="R125" s="146"/>
      <c r="S125" s="146"/>
      <c r="T125" s="146"/>
      <c r="U125" s="146"/>
      <c r="V125" s="146"/>
      <c r="W125" s="146"/>
      <c r="X125" s="146"/>
      <c r="Y125" s="146"/>
      <c r="Z125" s="146"/>
      <c r="AA125" s="146"/>
      <c r="AB125" s="146"/>
      <c r="AC125" s="146"/>
      <c r="AD125" s="146"/>
      <c r="AE125" s="146"/>
      <c r="AF125" s="146"/>
      <c r="AG125" s="146"/>
    </row>
    <row r="126" spans="13:33" ht="15.75">
      <c r="M126" s="161"/>
      <c r="N126" s="162"/>
      <c r="O126" s="146"/>
      <c r="P126" s="146"/>
      <c r="Q126" s="146"/>
      <c r="R126" s="146"/>
      <c r="S126" s="146"/>
      <c r="T126" s="146"/>
      <c r="U126" s="146"/>
      <c r="V126" s="146"/>
      <c r="W126" s="146"/>
      <c r="X126" s="146"/>
      <c r="Y126" s="146"/>
      <c r="Z126" s="146"/>
      <c r="AA126" s="146"/>
      <c r="AB126" s="146"/>
      <c r="AC126" s="146"/>
      <c r="AD126" s="146"/>
      <c r="AE126" s="146"/>
      <c r="AF126" s="146"/>
      <c r="AG126" s="146"/>
    </row>
    <row r="127" spans="13:33" ht="15.75">
      <c r="M127" s="161"/>
      <c r="N127" s="162"/>
      <c r="O127" s="146"/>
      <c r="P127" s="146"/>
      <c r="Q127" s="146"/>
      <c r="R127" s="146"/>
      <c r="S127" s="146"/>
      <c r="T127" s="146"/>
      <c r="U127" s="146"/>
      <c r="V127" s="146"/>
      <c r="W127" s="146"/>
      <c r="X127" s="146"/>
      <c r="Y127" s="146"/>
      <c r="Z127" s="146"/>
      <c r="AA127" s="146"/>
      <c r="AB127" s="146"/>
      <c r="AC127" s="146"/>
      <c r="AD127" s="146"/>
      <c r="AE127" s="146"/>
      <c r="AF127" s="146"/>
      <c r="AG127" s="146"/>
    </row>
    <row r="128" spans="13:33" ht="15.75">
      <c r="M128" s="161"/>
      <c r="N128" s="162"/>
      <c r="O128" s="146"/>
      <c r="P128" s="146"/>
      <c r="Q128" s="146"/>
      <c r="R128" s="146"/>
      <c r="S128" s="146"/>
      <c r="T128" s="146"/>
      <c r="U128" s="146"/>
      <c r="V128" s="146"/>
      <c r="W128" s="146"/>
      <c r="X128" s="146"/>
      <c r="Y128" s="146"/>
      <c r="Z128" s="146"/>
      <c r="AA128" s="146"/>
      <c r="AB128" s="146"/>
      <c r="AC128" s="146"/>
      <c r="AD128" s="146"/>
      <c r="AE128" s="146"/>
      <c r="AF128" s="146"/>
      <c r="AG128" s="146"/>
    </row>
    <row r="129" spans="13:33" ht="15.75">
      <c r="M129" s="161"/>
      <c r="N129" s="162"/>
      <c r="O129" s="146"/>
      <c r="P129" s="146"/>
      <c r="Q129" s="146"/>
      <c r="R129" s="146"/>
      <c r="S129" s="146"/>
      <c r="T129" s="146"/>
      <c r="U129" s="146"/>
      <c r="V129" s="146"/>
      <c r="W129" s="146"/>
      <c r="X129" s="146"/>
      <c r="Y129" s="146"/>
      <c r="Z129" s="146"/>
      <c r="AA129" s="146"/>
      <c r="AB129" s="146"/>
      <c r="AC129" s="146"/>
      <c r="AD129" s="146"/>
      <c r="AE129" s="146"/>
      <c r="AF129" s="146"/>
      <c r="AG129" s="146"/>
    </row>
    <row r="130" spans="13:33" ht="15.75">
      <c r="M130" s="161"/>
      <c r="N130" s="162"/>
      <c r="O130" s="146"/>
      <c r="P130" s="146"/>
      <c r="Q130" s="146"/>
      <c r="R130" s="146"/>
      <c r="S130" s="146"/>
      <c r="T130" s="146"/>
      <c r="U130" s="146"/>
      <c r="V130" s="146"/>
      <c r="W130" s="146"/>
      <c r="X130" s="146"/>
      <c r="Y130" s="146"/>
      <c r="Z130" s="146"/>
      <c r="AA130" s="146"/>
      <c r="AB130" s="146"/>
      <c r="AC130" s="146"/>
      <c r="AD130" s="146"/>
      <c r="AE130" s="146"/>
      <c r="AF130" s="146"/>
      <c r="AG130" s="146"/>
    </row>
    <row r="131" spans="13:33" ht="15.75">
      <c r="M131" s="161"/>
      <c r="N131" s="162"/>
      <c r="O131" s="146"/>
      <c r="P131" s="146"/>
      <c r="Q131" s="146"/>
      <c r="R131" s="146"/>
      <c r="S131" s="146"/>
      <c r="T131" s="146"/>
      <c r="U131" s="146"/>
      <c r="V131" s="146"/>
      <c r="W131" s="146"/>
      <c r="X131" s="146"/>
      <c r="Y131" s="146"/>
      <c r="Z131" s="146"/>
      <c r="AA131" s="146"/>
      <c r="AB131" s="146"/>
      <c r="AC131" s="146"/>
      <c r="AD131" s="146"/>
      <c r="AE131" s="146"/>
      <c r="AF131" s="146"/>
      <c r="AG131" s="146"/>
    </row>
    <row r="132" spans="13:33" ht="15.75">
      <c r="M132" s="161"/>
      <c r="N132" s="162"/>
      <c r="O132" s="146"/>
      <c r="P132" s="146"/>
      <c r="Q132" s="146"/>
      <c r="R132" s="146"/>
      <c r="S132" s="146"/>
      <c r="T132" s="146"/>
      <c r="U132" s="146"/>
      <c r="V132" s="146"/>
      <c r="W132" s="146"/>
      <c r="X132" s="146"/>
      <c r="Y132" s="146"/>
      <c r="Z132" s="146"/>
      <c r="AA132" s="146"/>
      <c r="AB132" s="146"/>
      <c r="AC132" s="146"/>
      <c r="AD132" s="146"/>
      <c r="AE132" s="146"/>
      <c r="AF132" s="146"/>
      <c r="AG132" s="146"/>
    </row>
    <row r="133" spans="13:33" ht="15.75">
      <c r="M133" s="161"/>
      <c r="N133" s="162"/>
      <c r="O133" s="146"/>
      <c r="P133" s="146"/>
      <c r="Q133" s="146"/>
      <c r="R133" s="146"/>
      <c r="S133" s="146"/>
      <c r="T133" s="146"/>
      <c r="U133" s="146"/>
      <c r="V133" s="146"/>
      <c r="W133" s="146"/>
      <c r="X133" s="146"/>
      <c r="Y133" s="146"/>
      <c r="Z133" s="146"/>
      <c r="AA133" s="146"/>
      <c r="AB133" s="146"/>
      <c r="AC133" s="146"/>
      <c r="AD133" s="146"/>
      <c r="AE133" s="146"/>
      <c r="AF133" s="146"/>
      <c r="AG133" s="146"/>
    </row>
    <row r="134" spans="13:33" ht="15.75">
      <c r="M134" s="161"/>
      <c r="N134" s="162"/>
      <c r="O134" s="146"/>
      <c r="P134" s="146"/>
      <c r="Q134" s="146"/>
      <c r="R134" s="146"/>
      <c r="S134" s="146"/>
      <c r="T134" s="146"/>
      <c r="U134" s="146"/>
      <c r="V134" s="146"/>
      <c r="W134" s="146"/>
      <c r="X134" s="146"/>
      <c r="Y134" s="146"/>
      <c r="Z134" s="146"/>
      <c r="AA134" s="146"/>
      <c r="AB134" s="146"/>
      <c r="AC134" s="146"/>
      <c r="AD134" s="146"/>
      <c r="AE134" s="146"/>
      <c r="AF134" s="146"/>
      <c r="AG134" s="146"/>
    </row>
    <row r="135" spans="13:33" ht="15.75">
      <c r="M135" s="161"/>
      <c r="N135" s="162"/>
      <c r="O135" s="146"/>
      <c r="P135" s="146"/>
      <c r="Q135" s="146"/>
      <c r="R135" s="146"/>
      <c r="S135" s="146"/>
      <c r="T135" s="146"/>
      <c r="U135" s="146"/>
      <c r="V135" s="146"/>
      <c r="W135" s="146"/>
      <c r="X135" s="146"/>
      <c r="Y135" s="146"/>
      <c r="Z135" s="146"/>
      <c r="AA135" s="146"/>
      <c r="AB135" s="146"/>
      <c r="AC135" s="146"/>
      <c r="AD135" s="146"/>
      <c r="AE135" s="146"/>
      <c r="AF135" s="146"/>
      <c r="AG135" s="146"/>
    </row>
    <row r="136" spans="13:33" ht="15.75">
      <c r="M136" s="161"/>
      <c r="N136" s="162"/>
      <c r="O136" s="146"/>
      <c r="P136" s="146"/>
      <c r="Q136" s="146"/>
      <c r="R136" s="146"/>
      <c r="S136" s="146"/>
      <c r="T136" s="146"/>
      <c r="U136" s="146"/>
      <c r="V136" s="146"/>
      <c r="W136" s="146"/>
      <c r="X136" s="146"/>
      <c r="Y136" s="146"/>
      <c r="Z136" s="146"/>
      <c r="AA136" s="146"/>
      <c r="AB136" s="146"/>
      <c r="AC136" s="146"/>
      <c r="AD136" s="146"/>
      <c r="AE136" s="146"/>
      <c r="AF136" s="146"/>
      <c r="AG136" s="146"/>
    </row>
    <row r="137" spans="13:33" ht="15.75">
      <c r="M137" s="161"/>
      <c r="N137" s="162"/>
      <c r="O137" s="146"/>
      <c r="P137" s="146"/>
      <c r="Q137" s="146"/>
      <c r="R137" s="146"/>
      <c r="S137" s="146"/>
      <c r="T137" s="146"/>
      <c r="U137" s="146"/>
      <c r="V137" s="146"/>
      <c r="W137" s="146"/>
      <c r="X137" s="146"/>
      <c r="Y137" s="146"/>
      <c r="Z137" s="146"/>
      <c r="AA137" s="146"/>
      <c r="AB137" s="146"/>
      <c r="AC137" s="146"/>
      <c r="AD137" s="146"/>
      <c r="AE137" s="146"/>
      <c r="AF137" s="146"/>
      <c r="AG137" s="146"/>
    </row>
    <row r="138" spans="13:33" ht="15.75">
      <c r="M138" s="161"/>
      <c r="N138" s="162"/>
      <c r="O138" s="146"/>
      <c r="P138" s="146"/>
      <c r="Q138" s="146"/>
      <c r="R138" s="146"/>
      <c r="S138" s="146"/>
      <c r="T138" s="146"/>
      <c r="U138" s="146"/>
      <c r="V138" s="146"/>
      <c r="W138" s="146"/>
      <c r="X138" s="146"/>
      <c r="Y138" s="146"/>
      <c r="Z138" s="146"/>
      <c r="AA138" s="146"/>
      <c r="AB138" s="146"/>
      <c r="AC138" s="146"/>
      <c r="AD138" s="146"/>
      <c r="AE138" s="146"/>
      <c r="AF138" s="146"/>
      <c r="AG138" s="146"/>
    </row>
    <row r="139" spans="13:33" ht="15.75">
      <c r="M139" s="161"/>
      <c r="N139" s="162"/>
      <c r="O139" s="146"/>
      <c r="P139" s="146"/>
      <c r="Q139" s="146"/>
      <c r="R139" s="146"/>
      <c r="S139" s="146"/>
      <c r="T139" s="146"/>
      <c r="U139" s="146"/>
      <c r="V139" s="146"/>
      <c r="W139" s="146"/>
      <c r="X139" s="146"/>
      <c r="Y139" s="146"/>
      <c r="Z139" s="146"/>
      <c r="AA139" s="146"/>
      <c r="AB139" s="146"/>
      <c r="AC139" s="146"/>
      <c r="AD139" s="146"/>
      <c r="AE139" s="146"/>
      <c r="AF139" s="146"/>
      <c r="AG139" s="146"/>
    </row>
    <row r="140" spans="13:33" ht="15.75">
      <c r="M140" s="161"/>
      <c r="N140" s="162"/>
      <c r="O140" s="146"/>
      <c r="P140" s="146"/>
      <c r="Q140" s="146"/>
      <c r="R140" s="146"/>
      <c r="S140" s="146"/>
      <c r="T140" s="146"/>
      <c r="U140" s="146"/>
      <c r="V140" s="146"/>
      <c r="W140" s="146"/>
      <c r="X140" s="146"/>
      <c r="Y140" s="146"/>
      <c r="Z140" s="146"/>
      <c r="AA140" s="146"/>
      <c r="AB140" s="146"/>
      <c r="AC140" s="146"/>
      <c r="AD140" s="146"/>
      <c r="AE140" s="146"/>
      <c r="AF140" s="146"/>
      <c r="AG140" s="146"/>
    </row>
    <row r="141" spans="13:33" ht="15.75">
      <c r="M141" s="161"/>
      <c r="N141" s="162"/>
      <c r="O141" s="146"/>
      <c r="P141" s="146"/>
      <c r="Q141" s="146"/>
      <c r="R141" s="146"/>
      <c r="S141" s="146"/>
      <c r="T141" s="146"/>
      <c r="U141" s="146"/>
      <c r="V141" s="146"/>
      <c r="W141" s="146"/>
      <c r="X141" s="146"/>
      <c r="Y141" s="146"/>
      <c r="Z141" s="146"/>
      <c r="AA141" s="146"/>
      <c r="AB141" s="146"/>
      <c r="AC141" s="146"/>
      <c r="AD141" s="146"/>
      <c r="AE141" s="146"/>
      <c r="AF141" s="146"/>
      <c r="AG141" s="146"/>
    </row>
    <row r="142" spans="13:33" ht="15.75">
      <c r="M142" s="161"/>
      <c r="N142" s="162"/>
      <c r="O142" s="146"/>
      <c r="P142" s="146"/>
      <c r="Q142" s="146"/>
      <c r="R142" s="146"/>
      <c r="S142" s="146"/>
      <c r="T142" s="146"/>
      <c r="U142" s="146"/>
      <c r="V142" s="146"/>
      <c r="W142" s="146"/>
      <c r="X142" s="146"/>
      <c r="Y142" s="146"/>
      <c r="Z142" s="146"/>
      <c r="AA142" s="146"/>
      <c r="AB142" s="146"/>
      <c r="AC142" s="146"/>
      <c r="AD142" s="146"/>
      <c r="AE142" s="146"/>
      <c r="AF142" s="146"/>
      <c r="AG142" s="146"/>
    </row>
    <row r="143" spans="13:33" ht="15.75">
      <c r="M143" s="161"/>
      <c r="N143" s="162"/>
      <c r="O143" s="146"/>
      <c r="P143" s="146"/>
      <c r="Q143" s="146"/>
      <c r="R143" s="146"/>
      <c r="S143" s="146"/>
      <c r="T143" s="146"/>
      <c r="U143" s="146"/>
      <c r="V143" s="146"/>
      <c r="W143" s="146"/>
      <c r="X143" s="146"/>
      <c r="Y143" s="146"/>
      <c r="Z143" s="146"/>
      <c r="AA143" s="146"/>
      <c r="AB143" s="146"/>
      <c r="AC143" s="146"/>
      <c r="AD143" s="146"/>
      <c r="AE143" s="146"/>
      <c r="AF143" s="146"/>
      <c r="AG143" s="146"/>
    </row>
    <row r="144" spans="13:33" ht="15.75">
      <c r="M144" s="161"/>
      <c r="N144" s="162"/>
      <c r="O144" s="146"/>
      <c r="P144" s="146"/>
      <c r="Q144" s="146"/>
      <c r="R144" s="146"/>
      <c r="S144" s="146"/>
      <c r="T144" s="146"/>
      <c r="U144" s="146"/>
      <c r="V144" s="146"/>
      <c r="W144" s="146"/>
      <c r="X144" s="146"/>
      <c r="Y144" s="146"/>
      <c r="Z144" s="146"/>
      <c r="AA144" s="146"/>
      <c r="AB144" s="146"/>
      <c r="AC144" s="146"/>
      <c r="AD144" s="146"/>
      <c r="AE144" s="146"/>
      <c r="AF144" s="146"/>
      <c r="AG144" s="146"/>
    </row>
    <row r="145" spans="13:33" ht="15.75">
      <c r="M145" s="161"/>
      <c r="N145" s="162"/>
      <c r="O145" s="146"/>
      <c r="P145" s="146"/>
      <c r="Q145" s="146"/>
      <c r="R145" s="146"/>
      <c r="S145" s="146"/>
      <c r="T145" s="146"/>
      <c r="U145" s="146"/>
      <c r="V145" s="146"/>
      <c r="W145" s="146"/>
      <c r="X145" s="146"/>
      <c r="Y145" s="146"/>
      <c r="Z145" s="146"/>
      <c r="AA145" s="146"/>
      <c r="AB145" s="146"/>
      <c r="AC145" s="146"/>
      <c r="AD145" s="146"/>
      <c r="AE145" s="146"/>
      <c r="AF145" s="146"/>
      <c r="AG145" s="146"/>
    </row>
    <row r="146" spans="13:33" ht="15.75">
      <c r="M146" s="161"/>
      <c r="N146" s="162"/>
      <c r="O146" s="146"/>
      <c r="P146" s="146"/>
      <c r="Q146" s="146"/>
      <c r="R146" s="146"/>
      <c r="S146" s="146"/>
      <c r="T146" s="146"/>
      <c r="U146" s="146"/>
      <c r="V146" s="146"/>
      <c r="W146" s="146"/>
      <c r="X146" s="146"/>
      <c r="Y146" s="146"/>
      <c r="Z146" s="146"/>
      <c r="AA146" s="146"/>
      <c r="AB146" s="146"/>
      <c r="AC146" s="146"/>
      <c r="AD146" s="146"/>
      <c r="AE146" s="146"/>
      <c r="AF146" s="146"/>
      <c r="AG146" s="146"/>
    </row>
    <row r="147" spans="13:33" ht="15.75">
      <c r="M147" s="161"/>
      <c r="N147" s="162"/>
      <c r="O147" s="146"/>
      <c r="P147" s="146"/>
      <c r="Q147" s="146"/>
      <c r="R147" s="146"/>
      <c r="S147" s="146"/>
      <c r="T147" s="146"/>
      <c r="U147" s="146"/>
      <c r="V147" s="146"/>
      <c r="W147" s="146"/>
      <c r="X147" s="146"/>
      <c r="Y147" s="146"/>
      <c r="Z147" s="146"/>
      <c r="AA147" s="146"/>
      <c r="AB147" s="146"/>
      <c r="AC147" s="146"/>
      <c r="AD147" s="146"/>
      <c r="AE147" s="146"/>
      <c r="AF147" s="146"/>
      <c r="AG147" s="146"/>
    </row>
    <row r="148" spans="13:33" ht="15.75">
      <c r="M148" s="161"/>
      <c r="N148" s="162"/>
      <c r="O148" s="146"/>
      <c r="P148" s="146"/>
      <c r="Q148" s="146"/>
      <c r="R148" s="146"/>
      <c r="S148" s="146"/>
      <c r="T148" s="146"/>
      <c r="U148" s="146"/>
      <c r="V148" s="146"/>
      <c r="W148" s="146"/>
      <c r="X148" s="146"/>
      <c r="Y148" s="146"/>
      <c r="Z148" s="146"/>
      <c r="AA148" s="146"/>
      <c r="AB148" s="146"/>
      <c r="AC148" s="146"/>
      <c r="AD148" s="146"/>
      <c r="AE148" s="146"/>
      <c r="AF148" s="146"/>
      <c r="AG148" s="146"/>
    </row>
    <row r="149" spans="13:33" ht="15.75">
      <c r="M149" s="161"/>
      <c r="N149" s="162"/>
      <c r="O149" s="146"/>
      <c r="P149" s="146"/>
      <c r="Q149" s="146"/>
      <c r="R149" s="146"/>
      <c r="S149" s="146"/>
      <c r="T149" s="146"/>
      <c r="U149" s="146"/>
      <c r="V149" s="146"/>
      <c r="W149" s="146"/>
      <c r="X149" s="146"/>
      <c r="Y149" s="146"/>
      <c r="Z149" s="146"/>
      <c r="AA149" s="146"/>
      <c r="AB149" s="146"/>
      <c r="AC149" s="146"/>
      <c r="AD149" s="146"/>
      <c r="AE149" s="146"/>
      <c r="AF149" s="146"/>
      <c r="AG149" s="146"/>
    </row>
    <row r="150" spans="13:33" ht="15.75">
      <c r="M150" s="161"/>
      <c r="N150" s="162"/>
      <c r="O150" s="146"/>
      <c r="P150" s="146"/>
      <c r="Q150" s="146"/>
      <c r="R150" s="146"/>
      <c r="S150" s="146"/>
      <c r="T150" s="146"/>
      <c r="U150" s="146"/>
      <c r="V150" s="146"/>
      <c r="W150" s="146"/>
      <c r="X150" s="146"/>
      <c r="Y150" s="146"/>
      <c r="Z150" s="146"/>
      <c r="AA150" s="146"/>
      <c r="AB150" s="146"/>
      <c r="AC150" s="146"/>
      <c r="AD150" s="146"/>
      <c r="AE150" s="146"/>
      <c r="AF150" s="146"/>
      <c r="AG150" s="146"/>
    </row>
    <row r="151" spans="13:33" ht="15.75">
      <c r="M151" s="161"/>
      <c r="N151" s="162"/>
      <c r="O151" s="146"/>
      <c r="P151" s="146"/>
      <c r="Q151" s="146"/>
      <c r="R151" s="146"/>
      <c r="S151" s="146"/>
      <c r="T151" s="146"/>
      <c r="U151" s="146"/>
      <c r="V151" s="146"/>
      <c r="W151" s="146"/>
      <c r="X151" s="146"/>
      <c r="Y151" s="146"/>
      <c r="Z151" s="146"/>
      <c r="AA151" s="146"/>
      <c r="AB151" s="146"/>
      <c r="AC151" s="146"/>
      <c r="AD151" s="146"/>
      <c r="AE151" s="146"/>
      <c r="AF151" s="146"/>
      <c r="AG151" s="146"/>
    </row>
    <row r="152" spans="13:33" ht="15.75">
      <c r="M152" s="161"/>
      <c r="N152" s="162"/>
      <c r="O152" s="146"/>
      <c r="P152" s="146"/>
      <c r="Q152" s="146"/>
      <c r="R152" s="146"/>
      <c r="S152" s="146"/>
      <c r="T152" s="146"/>
      <c r="U152" s="146"/>
      <c r="V152" s="146"/>
      <c r="W152" s="146"/>
      <c r="X152" s="146"/>
      <c r="Y152" s="146"/>
      <c r="Z152" s="146"/>
      <c r="AA152" s="146"/>
      <c r="AB152" s="146"/>
      <c r="AC152" s="146"/>
      <c r="AD152" s="146"/>
      <c r="AE152" s="146"/>
      <c r="AF152" s="146"/>
      <c r="AG152" s="146"/>
    </row>
    <row r="153" spans="13:33" ht="15.75">
      <c r="M153" s="161"/>
      <c r="N153" s="162"/>
      <c r="O153" s="146"/>
      <c r="P153" s="146"/>
      <c r="Q153" s="146"/>
      <c r="R153" s="146"/>
      <c r="S153" s="146"/>
      <c r="T153" s="146"/>
      <c r="U153" s="146"/>
      <c r="V153" s="146"/>
      <c r="W153" s="146"/>
      <c r="X153" s="146"/>
      <c r="Y153" s="146"/>
      <c r="Z153" s="146"/>
      <c r="AA153" s="146"/>
      <c r="AB153" s="146"/>
      <c r="AC153" s="146"/>
      <c r="AD153" s="146"/>
      <c r="AE153" s="146"/>
      <c r="AF153" s="146"/>
      <c r="AG153" s="146"/>
    </row>
    <row r="154" spans="13:33" ht="15.75">
      <c r="M154" s="161"/>
      <c r="N154" s="162"/>
      <c r="O154" s="146"/>
      <c r="P154" s="146"/>
      <c r="Q154" s="146"/>
      <c r="R154" s="146"/>
      <c r="S154" s="146"/>
      <c r="T154" s="146"/>
      <c r="U154" s="146"/>
      <c r="V154" s="146"/>
      <c r="W154" s="146"/>
      <c r="X154" s="146"/>
      <c r="Y154" s="146"/>
      <c r="Z154" s="146"/>
      <c r="AA154" s="146"/>
      <c r="AB154" s="146"/>
      <c r="AC154" s="146"/>
      <c r="AD154" s="146"/>
      <c r="AE154" s="146"/>
      <c r="AF154" s="146"/>
      <c r="AG154" s="146"/>
    </row>
    <row r="155" spans="13:33" ht="15.75">
      <c r="M155" s="161"/>
      <c r="N155" s="162"/>
      <c r="O155" s="146"/>
      <c r="P155" s="146"/>
      <c r="Q155" s="146"/>
      <c r="R155" s="146"/>
      <c r="S155" s="146"/>
      <c r="T155" s="146"/>
      <c r="U155" s="146"/>
      <c r="V155" s="146"/>
      <c r="W155" s="146"/>
      <c r="X155" s="146"/>
      <c r="Y155" s="146"/>
      <c r="Z155" s="146"/>
      <c r="AA155" s="146"/>
      <c r="AB155" s="146"/>
      <c r="AC155" s="146"/>
      <c r="AD155" s="146"/>
      <c r="AE155" s="146"/>
      <c r="AF155" s="146"/>
      <c r="AG155" s="146"/>
    </row>
    <row r="156" spans="13:33" ht="15.75">
      <c r="M156" s="161"/>
      <c r="N156" s="162"/>
      <c r="O156" s="146"/>
      <c r="P156" s="146"/>
      <c r="Q156" s="146"/>
      <c r="R156" s="146"/>
      <c r="S156" s="146"/>
      <c r="T156" s="146"/>
      <c r="U156" s="146"/>
      <c r="V156" s="146"/>
      <c r="W156" s="146"/>
      <c r="X156" s="146"/>
      <c r="Y156" s="146"/>
      <c r="Z156" s="146"/>
      <c r="AA156" s="146"/>
      <c r="AB156" s="146"/>
      <c r="AC156" s="146"/>
      <c r="AD156" s="146"/>
      <c r="AE156" s="146"/>
      <c r="AF156" s="146"/>
      <c r="AG156" s="146"/>
    </row>
    <row r="157" spans="13:33" ht="15.75">
      <c r="M157" s="161"/>
      <c r="N157" s="162"/>
      <c r="O157" s="146"/>
      <c r="P157" s="146"/>
      <c r="Q157" s="146"/>
      <c r="R157" s="146"/>
      <c r="S157" s="146"/>
      <c r="T157" s="146"/>
      <c r="U157" s="146"/>
      <c r="V157" s="146"/>
      <c r="W157" s="146"/>
      <c r="X157" s="146"/>
      <c r="Y157" s="146"/>
      <c r="Z157" s="146"/>
      <c r="AA157" s="146"/>
      <c r="AB157" s="146"/>
      <c r="AC157" s="146"/>
      <c r="AD157" s="146"/>
      <c r="AE157" s="146"/>
      <c r="AF157" s="146"/>
      <c r="AG157" s="146"/>
    </row>
    <row r="158" spans="13:33" ht="15.75">
      <c r="M158" s="161"/>
      <c r="N158" s="162"/>
      <c r="O158" s="146"/>
      <c r="P158" s="146"/>
      <c r="Q158" s="146"/>
      <c r="R158" s="146"/>
      <c r="S158" s="146"/>
      <c r="T158" s="146"/>
      <c r="U158" s="146"/>
      <c r="V158" s="146"/>
      <c r="W158" s="146"/>
      <c r="X158" s="146"/>
      <c r="Y158" s="146"/>
      <c r="Z158" s="146"/>
      <c r="AA158" s="146"/>
      <c r="AB158" s="146"/>
      <c r="AC158" s="146"/>
      <c r="AD158" s="146"/>
      <c r="AE158" s="146"/>
      <c r="AF158" s="146"/>
      <c r="AG158" s="146"/>
    </row>
    <row r="159" spans="13:33" ht="15.75">
      <c r="M159" s="161"/>
      <c r="N159" s="162"/>
      <c r="O159" s="146"/>
      <c r="P159" s="146"/>
      <c r="Q159" s="146"/>
      <c r="R159" s="146"/>
      <c r="S159" s="146"/>
      <c r="T159" s="146"/>
      <c r="U159" s="146"/>
      <c r="V159" s="146"/>
      <c r="W159" s="146"/>
      <c r="X159" s="146"/>
      <c r="Y159" s="146"/>
      <c r="Z159" s="146"/>
      <c r="AA159" s="146"/>
      <c r="AB159" s="146"/>
      <c r="AC159" s="146"/>
      <c r="AD159" s="146"/>
      <c r="AE159" s="146"/>
      <c r="AF159" s="146"/>
      <c r="AG159" s="146"/>
    </row>
    <row r="160" spans="13:33" ht="15.75">
      <c r="M160" s="161"/>
      <c r="N160" s="162"/>
      <c r="O160" s="146"/>
      <c r="P160" s="146"/>
      <c r="Q160" s="146"/>
      <c r="R160" s="146"/>
      <c r="S160" s="146"/>
      <c r="T160" s="146"/>
      <c r="U160" s="146"/>
      <c r="V160" s="146"/>
      <c r="W160" s="146"/>
      <c r="X160" s="146"/>
      <c r="Y160" s="146"/>
      <c r="Z160" s="146"/>
      <c r="AA160" s="146"/>
      <c r="AB160" s="146"/>
      <c r="AC160" s="146"/>
      <c r="AD160" s="146"/>
      <c r="AE160" s="146"/>
      <c r="AF160" s="146"/>
      <c r="AG160" s="146"/>
    </row>
    <row r="161" spans="13:33" ht="15.75">
      <c r="M161" s="161"/>
      <c r="N161" s="162"/>
      <c r="O161" s="146"/>
      <c r="P161" s="146"/>
      <c r="Q161" s="146"/>
      <c r="R161" s="146"/>
      <c r="S161" s="146"/>
      <c r="T161" s="146"/>
      <c r="U161" s="146"/>
      <c r="V161" s="146"/>
      <c r="W161" s="146"/>
      <c r="X161" s="146"/>
      <c r="Y161" s="146"/>
      <c r="Z161" s="146"/>
      <c r="AA161" s="146"/>
      <c r="AB161" s="146"/>
      <c r="AC161" s="146"/>
      <c r="AD161" s="146"/>
      <c r="AE161" s="146"/>
      <c r="AF161" s="146"/>
      <c r="AG161" s="146"/>
    </row>
    <row r="162" spans="13:33" ht="15.75">
      <c r="M162" s="161"/>
      <c r="N162" s="162"/>
      <c r="O162" s="146"/>
      <c r="P162" s="146"/>
      <c r="Q162" s="146"/>
      <c r="R162" s="146"/>
      <c r="S162" s="146"/>
      <c r="T162" s="146"/>
      <c r="U162" s="146"/>
      <c r="V162" s="146"/>
      <c r="W162" s="146"/>
      <c r="X162" s="146"/>
      <c r="Y162" s="146"/>
      <c r="Z162" s="146"/>
      <c r="AA162" s="146"/>
      <c r="AB162" s="146"/>
      <c r="AC162" s="146"/>
      <c r="AD162" s="146"/>
      <c r="AE162" s="146"/>
      <c r="AF162" s="146"/>
      <c r="AG162" s="146"/>
    </row>
    <row r="163" spans="13:33" ht="15.75">
      <c r="M163" s="161"/>
      <c r="N163" s="162"/>
      <c r="O163" s="146"/>
      <c r="P163" s="146"/>
      <c r="Q163" s="146"/>
      <c r="R163" s="146"/>
      <c r="S163" s="146"/>
      <c r="T163" s="146"/>
      <c r="U163" s="146"/>
      <c r="V163" s="146"/>
      <c r="W163" s="146"/>
      <c r="X163" s="146"/>
      <c r="Y163" s="146"/>
      <c r="Z163" s="146"/>
      <c r="AA163" s="146"/>
      <c r="AB163" s="146"/>
      <c r="AC163" s="146"/>
      <c r="AD163" s="146"/>
      <c r="AE163" s="146"/>
      <c r="AF163" s="146"/>
      <c r="AG163" s="146"/>
    </row>
    <row r="164" spans="13:33" ht="15.75">
      <c r="M164" s="161"/>
      <c r="N164" s="162"/>
      <c r="O164" s="146"/>
      <c r="P164" s="146"/>
      <c r="Q164" s="146"/>
      <c r="R164" s="146"/>
      <c r="S164" s="146"/>
      <c r="T164" s="146"/>
      <c r="U164" s="146"/>
      <c r="V164" s="146"/>
      <c r="W164" s="146"/>
      <c r="X164" s="146"/>
      <c r="Y164" s="146"/>
      <c r="Z164" s="146"/>
      <c r="AA164" s="146"/>
      <c r="AB164" s="146"/>
      <c r="AC164" s="146"/>
      <c r="AD164" s="146"/>
      <c r="AE164" s="146"/>
      <c r="AF164" s="146"/>
      <c r="AG164" s="146"/>
    </row>
    <row r="165" spans="13:33" ht="15.75">
      <c r="M165" s="161"/>
      <c r="N165" s="162"/>
      <c r="O165" s="146"/>
      <c r="P165" s="146"/>
      <c r="Q165" s="146"/>
      <c r="R165" s="146"/>
      <c r="S165" s="146"/>
      <c r="T165" s="146"/>
      <c r="U165" s="146"/>
      <c r="V165" s="146"/>
      <c r="W165" s="146"/>
      <c r="X165" s="146"/>
      <c r="Y165" s="146"/>
      <c r="Z165" s="146"/>
      <c r="AA165" s="146"/>
      <c r="AB165" s="146"/>
      <c r="AC165" s="146"/>
      <c r="AD165" s="146"/>
      <c r="AE165" s="146"/>
      <c r="AF165" s="146"/>
      <c r="AG165" s="146"/>
    </row>
    <row r="166" spans="13:33" ht="15.75">
      <c r="M166" s="161"/>
      <c r="N166" s="162"/>
      <c r="O166" s="146"/>
      <c r="P166" s="146"/>
      <c r="Q166" s="146"/>
      <c r="R166" s="146"/>
      <c r="S166" s="146"/>
      <c r="T166" s="146"/>
      <c r="U166" s="146"/>
      <c r="V166" s="146"/>
      <c r="W166" s="146"/>
      <c r="X166" s="146"/>
      <c r="Y166" s="146"/>
      <c r="Z166" s="146"/>
      <c r="AA166" s="146"/>
      <c r="AB166" s="146"/>
      <c r="AC166" s="146"/>
      <c r="AD166" s="146"/>
      <c r="AE166" s="146"/>
      <c r="AF166" s="146"/>
      <c r="AG166" s="146"/>
    </row>
    <row r="167" spans="13:33" ht="15.75">
      <c r="M167" s="161"/>
      <c r="N167" s="162"/>
      <c r="O167" s="146"/>
      <c r="P167" s="146"/>
      <c r="Q167" s="146"/>
      <c r="R167" s="146"/>
      <c r="S167" s="146"/>
      <c r="T167" s="146"/>
      <c r="U167" s="146"/>
      <c r="V167" s="146"/>
      <c r="W167" s="146"/>
      <c r="X167" s="146"/>
      <c r="Y167" s="146"/>
      <c r="Z167" s="146"/>
      <c r="AA167" s="146"/>
      <c r="AB167" s="146"/>
      <c r="AC167" s="146"/>
      <c r="AD167" s="146"/>
      <c r="AE167" s="146"/>
      <c r="AF167" s="146"/>
      <c r="AG167" s="146"/>
    </row>
    <row r="168" spans="13:33" ht="15.75">
      <c r="M168" s="161"/>
      <c r="N168" s="162"/>
      <c r="O168" s="146"/>
      <c r="P168" s="146"/>
      <c r="Q168" s="146"/>
      <c r="R168" s="146"/>
      <c r="S168" s="146"/>
      <c r="T168" s="146"/>
      <c r="U168" s="146"/>
      <c r="V168" s="146"/>
      <c r="W168" s="146"/>
      <c r="X168" s="146"/>
      <c r="Y168" s="146"/>
      <c r="Z168" s="146"/>
      <c r="AA168" s="146"/>
      <c r="AB168" s="146"/>
      <c r="AC168" s="146"/>
      <c r="AD168" s="146"/>
      <c r="AE168" s="146"/>
      <c r="AF168" s="146"/>
      <c r="AG168" s="146"/>
    </row>
    <row r="169" spans="13:33" ht="15.75">
      <c r="M169" s="161"/>
      <c r="N169" s="162"/>
      <c r="O169" s="146"/>
      <c r="P169" s="146"/>
      <c r="Q169" s="146"/>
      <c r="R169" s="146"/>
      <c r="S169" s="146"/>
      <c r="T169" s="146"/>
      <c r="U169" s="146"/>
      <c r="V169" s="146"/>
      <c r="W169" s="146"/>
      <c r="X169" s="146"/>
      <c r="Y169" s="146"/>
      <c r="Z169" s="146"/>
      <c r="AA169" s="146"/>
      <c r="AB169" s="146"/>
      <c r="AC169" s="146"/>
      <c r="AD169" s="146"/>
      <c r="AE169" s="146"/>
      <c r="AF169" s="146"/>
      <c r="AG169" s="146"/>
    </row>
    <row r="170" spans="13:33" ht="15.75">
      <c r="M170" s="161"/>
      <c r="N170" s="162"/>
      <c r="O170" s="146"/>
      <c r="P170" s="146"/>
      <c r="Q170" s="146"/>
      <c r="R170" s="146"/>
      <c r="S170" s="146"/>
      <c r="T170" s="146"/>
      <c r="U170" s="146"/>
      <c r="V170" s="146"/>
      <c r="W170" s="146"/>
      <c r="X170" s="146"/>
      <c r="Y170" s="146"/>
      <c r="Z170" s="146"/>
      <c r="AA170" s="146"/>
      <c r="AB170" s="146"/>
      <c r="AC170" s="146"/>
      <c r="AD170" s="146"/>
      <c r="AE170" s="146"/>
      <c r="AF170" s="146"/>
      <c r="AG170" s="146"/>
    </row>
    <row r="171" spans="13:33" ht="15.75">
      <c r="M171" s="161"/>
      <c r="N171" s="162"/>
      <c r="O171" s="146"/>
      <c r="P171" s="146"/>
      <c r="Q171" s="146"/>
      <c r="R171" s="146"/>
      <c r="S171" s="146"/>
      <c r="T171" s="146"/>
      <c r="U171" s="146"/>
      <c r="V171" s="146"/>
      <c r="W171" s="146"/>
      <c r="X171" s="146"/>
      <c r="Y171" s="146"/>
      <c r="Z171" s="146"/>
      <c r="AA171" s="146"/>
      <c r="AB171" s="146"/>
      <c r="AC171" s="146"/>
      <c r="AD171" s="146"/>
      <c r="AE171" s="146"/>
      <c r="AF171" s="146"/>
      <c r="AG171" s="146"/>
    </row>
    <row r="172" spans="13:33" ht="15.75">
      <c r="M172" s="161"/>
      <c r="N172" s="162"/>
      <c r="O172" s="146"/>
      <c r="P172" s="146"/>
      <c r="Q172" s="146"/>
      <c r="R172" s="146"/>
      <c r="S172" s="146"/>
      <c r="T172" s="146"/>
      <c r="U172" s="146"/>
      <c r="V172" s="146"/>
      <c r="W172" s="146"/>
      <c r="X172" s="146"/>
      <c r="Y172" s="146"/>
      <c r="Z172" s="146"/>
      <c r="AA172" s="146"/>
      <c r="AB172" s="146"/>
      <c r="AC172" s="146"/>
      <c r="AD172" s="146"/>
      <c r="AE172" s="146"/>
      <c r="AF172" s="146"/>
      <c r="AG172" s="146"/>
    </row>
    <row r="173" spans="13:33" ht="15.75">
      <c r="M173" s="161"/>
      <c r="N173" s="162"/>
      <c r="O173" s="146"/>
      <c r="P173" s="146"/>
      <c r="Q173" s="146"/>
      <c r="R173" s="146"/>
      <c r="S173" s="146"/>
      <c r="T173" s="146"/>
      <c r="U173" s="146"/>
      <c r="V173" s="146"/>
      <c r="W173" s="146"/>
      <c r="X173" s="146"/>
      <c r="Y173" s="146"/>
      <c r="Z173" s="146"/>
      <c r="AA173" s="146"/>
      <c r="AB173" s="146"/>
      <c r="AC173" s="146"/>
      <c r="AD173" s="146"/>
      <c r="AE173" s="146"/>
      <c r="AF173" s="146"/>
      <c r="AG173" s="146"/>
    </row>
    <row r="174" spans="13:33" ht="15.75">
      <c r="M174" s="161"/>
      <c r="N174" s="162"/>
      <c r="O174" s="146"/>
      <c r="P174" s="146"/>
      <c r="Q174" s="146"/>
      <c r="R174" s="146"/>
      <c r="S174" s="146"/>
      <c r="T174" s="146"/>
      <c r="U174" s="146"/>
      <c r="V174" s="146"/>
      <c r="W174" s="146"/>
      <c r="X174" s="146"/>
      <c r="Y174" s="146"/>
      <c r="Z174" s="146"/>
      <c r="AA174" s="146"/>
      <c r="AB174" s="146"/>
      <c r="AC174" s="146"/>
      <c r="AD174" s="146"/>
      <c r="AE174" s="146"/>
      <c r="AF174" s="146"/>
      <c r="AG174" s="146"/>
    </row>
    <row r="175" spans="13:33" ht="15.75">
      <c r="M175" s="161"/>
      <c r="N175" s="162"/>
      <c r="O175" s="146"/>
      <c r="P175" s="146"/>
      <c r="Q175" s="146"/>
      <c r="R175" s="146"/>
      <c r="S175" s="146"/>
      <c r="T175" s="146"/>
      <c r="U175" s="146"/>
      <c r="V175" s="146"/>
      <c r="W175" s="146"/>
      <c r="X175" s="146"/>
      <c r="Y175" s="146"/>
      <c r="Z175" s="146"/>
      <c r="AA175" s="146"/>
      <c r="AB175" s="146"/>
      <c r="AC175" s="146"/>
      <c r="AD175" s="146"/>
      <c r="AE175" s="146"/>
      <c r="AF175" s="146"/>
      <c r="AG175" s="146"/>
    </row>
    <row r="176" spans="13:33" ht="15.75">
      <c r="M176" s="161"/>
      <c r="N176" s="162"/>
      <c r="O176" s="146"/>
      <c r="P176" s="146"/>
      <c r="Q176" s="146"/>
      <c r="R176" s="146"/>
      <c r="S176" s="146"/>
      <c r="T176" s="146"/>
      <c r="U176" s="146"/>
      <c r="V176" s="146"/>
      <c r="W176" s="146"/>
      <c r="X176" s="146"/>
      <c r="Y176" s="146"/>
      <c r="Z176" s="146"/>
      <c r="AA176" s="146"/>
      <c r="AB176" s="146"/>
      <c r="AC176" s="146"/>
      <c r="AD176" s="146"/>
      <c r="AE176" s="146"/>
      <c r="AF176" s="146"/>
      <c r="AG176" s="146"/>
    </row>
    <row r="177" spans="13:33" ht="15.75">
      <c r="M177" s="161"/>
      <c r="N177" s="162"/>
      <c r="O177" s="146"/>
      <c r="P177" s="146"/>
      <c r="Q177" s="146"/>
      <c r="R177" s="146"/>
      <c r="S177" s="146"/>
      <c r="T177" s="146"/>
      <c r="U177" s="146"/>
      <c r="V177" s="146"/>
      <c r="W177" s="146"/>
      <c r="X177" s="146"/>
      <c r="Y177" s="146"/>
      <c r="Z177" s="146"/>
      <c r="AA177" s="146"/>
      <c r="AB177" s="146"/>
      <c r="AC177" s="146"/>
      <c r="AD177" s="146"/>
      <c r="AE177" s="146"/>
      <c r="AF177" s="146"/>
      <c r="AG177" s="146"/>
    </row>
    <row r="178" spans="13:33" ht="15.75">
      <c r="M178" s="161"/>
      <c r="N178" s="162"/>
      <c r="O178" s="146"/>
      <c r="P178" s="146"/>
      <c r="Q178" s="146"/>
      <c r="R178" s="146"/>
      <c r="S178" s="146"/>
      <c r="T178" s="146"/>
      <c r="U178" s="146"/>
      <c r="V178" s="146"/>
      <c r="W178" s="146"/>
      <c r="X178" s="146"/>
      <c r="Y178" s="146"/>
      <c r="Z178" s="146"/>
      <c r="AA178" s="146"/>
      <c r="AB178" s="146"/>
      <c r="AC178" s="146"/>
      <c r="AD178" s="146"/>
      <c r="AE178" s="146"/>
      <c r="AF178" s="146"/>
      <c r="AG178" s="146"/>
    </row>
    <row r="179" spans="13:33" ht="15.75">
      <c r="M179" s="161"/>
      <c r="N179" s="162"/>
      <c r="O179" s="146"/>
      <c r="P179" s="146"/>
      <c r="Q179" s="146"/>
      <c r="R179" s="146"/>
      <c r="S179" s="146"/>
      <c r="T179" s="146"/>
      <c r="U179" s="146"/>
      <c r="V179" s="146"/>
      <c r="W179" s="146"/>
      <c r="X179" s="146"/>
      <c r="Y179" s="146"/>
      <c r="Z179" s="146"/>
      <c r="AA179" s="146"/>
      <c r="AB179" s="146"/>
      <c r="AC179" s="146"/>
      <c r="AD179" s="146"/>
      <c r="AE179" s="146"/>
      <c r="AF179" s="146"/>
      <c r="AG179" s="146"/>
    </row>
    <row r="180" spans="13:33" ht="15.75">
      <c r="M180" s="161"/>
      <c r="N180" s="162"/>
      <c r="O180" s="146"/>
      <c r="P180" s="146"/>
      <c r="Q180" s="146"/>
      <c r="R180" s="146"/>
      <c r="S180" s="146"/>
      <c r="T180" s="146"/>
      <c r="U180" s="146"/>
      <c r="V180" s="146"/>
      <c r="W180" s="146"/>
      <c r="X180" s="146"/>
      <c r="Y180" s="146"/>
      <c r="Z180" s="146"/>
      <c r="AA180" s="146"/>
      <c r="AB180" s="146"/>
      <c r="AC180" s="146"/>
      <c r="AD180" s="146"/>
      <c r="AE180" s="146"/>
      <c r="AF180" s="146"/>
      <c r="AG180" s="146"/>
    </row>
    <row r="181" spans="13:33" ht="15.75">
      <c r="M181" s="161"/>
      <c r="N181" s="162"/>
      <c r="O181" s="146"/>
      <c r="P181" s="146"/>
      <c r="Q181" s="146"/>
      <c r="R181" s="146"/>
      <c r="S181" s="146"/>
      <c r="T181" s="146"/>
      <c r="U181" s="146"/>
      <c r="V181" s="146"/>
      <c r="W181" s="146"/>
      <c r="X181" s="146"/>
      <c r="Y181" s="146"/>
      <c r="Z181" s="146"/>
      <c r="AA181" s="146"/>
      <c r="AB181" s="146"/>
      <c r="AC181" s="146"/>
      <c r="AD181" s="146"/>
      <c r="AE181" s="146"/>
      <c r="AF181" s="146"/>
      <c r="AG181" s="146"/>
    </row>
    <row r="182" spans="13:33" ht="15.75">
      <c r="M182" s="161"/>
      <c r="N182" s="162"/>
      <c r="O182" s="146"/>
      <c r="P182" s="146"/>
      <c r="Q182" s="146"/>
      <c r="R182" s="146"/>
      <c r="S182" s="146"/>
      <c r="T182" s="146"/>
      <c r="U182" s="146"/>
      <c r="V182" s="146"/>
      <c r="W182" s="146"/>
      <c r="X182" s="146"/>
      <c r="Y182" s="146"/>
      <c r="Z182" s="146"/>
      <c r="AA182" s="146"/>
      <c r="AB182" s="146"/>
      <c r="AC182" s="146"/>
      <c r="AD182" s="146"/>
      <c r="AE182" s="146"/>
      <c r="AF182" s="146"/>
      <c r="AG182" s="146"/>
    </row>
    <row r="183" spans="13:33" ht="15.75">
      <c r="M183" s="161"/>
      <c r="N183" s="162"/>
      <c r="O183" s="146"/>
      <c r="P183" s="146"/>
      <c r="Q183" s="146"/>
      <c r="R183" s="146"/>
      <c r="S183" s="146"/>
      <c r="T183" s="146"/>
      <c r="U183" s="146"/>
      <c r="V183" s="146"/>
      <c r="W183" s="146"/>
      <c r="X183" s="146"/>
      <c r="Y183" s="146"/>
      <c r="Z183" s="146"/>
      <c r="AA183" s="146"/>
      <c r="AB183" s="146"/>
      <c r="AC183" s="146"/>
      <c r="AD183" s="146"/>
      <c r="AE183" s="146"/>
      <c r="AF183" s="146"/>
      <c r="AG183" s="146"/>
    </row>
    <row r="184" spans="13:33" ht="15.75">
      <c r="M184" s="161"/>
      <c r="N184" s="162"/>
      <c r="O184" s="146"/>
      <c r="P184" s="146"/>
      <c r="Q184" s="146"/>
      <c r="R184" s="146"/>
      <c r="S184" s="146"/>
      <c r="T184" s="146"/>
      <c r="U184" s="146"/>
      <c r="V184" s="146"/>
      <c r="W184" s="146"/>
      <c r="X184" s="146"/>
      <c r="Y184" s="146"/>
      <c r="Z184" s="146"/>
      <c r="AA184" s="146"/>
      <c r="AB184" s="146"/>
      <c r="AC184" s="146"/>
      <c r="AD184" s="146"/>
      <c r="AE184" s="146"/>
      <c r="AF184" s="146"/>
      <c r="AG184" s="146"/>
    </row>
    <row r="185" spans="13:33" ht="15.75">
      <c r="M185" s="161"/>
      <c r="N185" s="162"/>
      <c r="O185" s="146"/>
      <c r="P185" s="146"/>
      <c r="Q185" s="146"/>
      <c r="R185" s="146"/>
      <c r="S185" s="146"/>
      <c r="T185" s="146"/>
      <c r="U185" s="146"/>
      <c r="V185" s="146"/>
      <c r="W185" s="146"/>
      <c r="X185" s="146"/>
      <c r="Y185" s="146"/>
      <c r="Z185" s="146"/>
      <c r="AA185" s="146"/>
      <c r="AB185" s="146"/>
      <c r="AC185" s="146"/>
      <c r="AD185" s="146"/>
      <c r="AE185" s="146"/>
      <c r="AF185" s="146"/>
      <c r="AG185" s="146"/>
    </row>
    <row r="186" spans="13:33" ht="15.75">
      <c r="M186" s="161"/>
      <c r="N186" s="162"/>
      <c r="O186" s="146"/>
      <c r="P186" s="146"/>
      <c r="Q186" s="146"/>
      <c r="R186" s="146"/>
      <c r="S186" s="146"/>
      <c r="T186" s="146"/>
      <c r="U186" s="146"/>
      <c r="V186" s="146"/>
      <c r="W186" s="146"/>
      <c r="X186" s="146"/>
      <c r="Y186" s="146"/>
      <c r="Z186" s="146"/>
      <c r="AA186" s="146"/>
      <c r="AB186" s="146"/>
      <c r="AC186" s="146"/>
      <c r="AD186" s="146"/>
      <c r="AE186" s="146"/>
      <c r="AF186" s="146"/>
      <c r="AG186" s="146"/>
    </row>
    <row r="187" spans="13:33" ht="15.75">
      <c r="M187" s="161"/>
      <c r="N187" s="162"/>
      <c r="O187" s="146"/>
      <c r="P187" s="146"/>
      <c r="Q187" s="146"/>
      <c r="R187" s="146"/>
      <c r="S187" s="146"/>
      <c r="T187" s="146"/>
      <c r="U187" s="146"/>
      <c r="V187" s="146"/>
      <c r="W187" s="146"/>
      <c r="X187" s="146"/>
      <c r="Y187" s="146"/>
      <c r="Z187" s="146"/>
      <c r="AA187" s="146"/>
      <c r="AB187" s="146"/>
      <c r="AC187" s="146"/>
      <c r="AD187" s="146"/>
      <c r="AE187" s="146"/>
      <c r="AF187" s="146"/>
      <c r="AG187" s="146"/>
    </row>
  </sheetData>
  <mergeCells count="21">
    <mergeCell ref="A4:J5"/>
    <mergeCell ref="E8:E11"/>
    <mergeCell ref="F9:F11"/>
    <mergeCell ref="G9:G11"/>
    <mergeCell ref="C8:C9"/>
    <mergeCell ref="D8:D9"/>
    <mergeCell ref="L7:L11"/>
    <mergeCell ref="A7:A11"/>
    <mergeCell ref="H10:H11"/>
    <mergeCell ref="I10:I11"/>
    <mergeCell ref="B7:J7"/>
    <mergeCell ref="F8:J8"/>
    <mergeCell ref="H9:I9"/>
    <mergeCell ref="J9:J11"/>
    <mergeCell ref="K7:K11"/>
    <mergeCell ref="B8:B11"/>
    <mergeCell ref="N7:N11"/>
    <mergeCell ref="M1:N1"/>
    <mergeCell ref="M2:N2"/>
    <mergeCell ref="M3:N3"/>
    <mergeCell ref="M8:M10"/>
  </mergeCells>
  <printOptions/>
  <pageMargins left="0.12" right="0.04" top="0.2" bottom="0.08" header="0.08" footer="0.15"/>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E22"/>
  <sheetViews>
    <sheetView view="pageBreakPreview" zoomScale="75" zoomScaleSheetLayoutView="75" workbookViewId="0" topLeftCell="A1">
      <selection activeCell="C2" sqref="C2:D2"/>
    </sheetView>
  </sheetViews>
  <sheetFormatPr defaultColWidth="9.00390625" defaultRowHeight="12.75"/>
  <cols>
    <col min="1" max="1" width="32.25390625" style="209" customWidth="1"/>
    <col min="2" max="2" width="12.875" style="209" customWidth="1"/>
    <col min="3" max="3" width="21.375" style="209" customWidth="1"/>
    <col min="4" max="16384" width="8.875" style="209" customWidth="1"/>
  </cols>
  <sheetData>
    <row r="1" ht="13.5" customHeight="1">
      <c r="C1" s="5" t="s">
        <v>3</v>
      </c>
    </row>
    <row r="2" ht="12.75">
      <c r="C2" s="3" t="s">
        <v>4</v>
      </c>
    </row>
    <row r="3" ht="12.75">
      <c r="C3" s="5" t="s">
        <v>63</v>
      </c>
    </row>
    <row r="4" spans="2:3" ht="12.75">
      <c r="B4" s="5"/>
      <c r="C4" s="5"/>
    </row>
    <row r="5" spans="2:3" ht="12.75">
      <c r="B5" s="5"/>
      <c r="C5" s="5"/>
    </row>
    <row r="6" ht="12.75">
      <c r="C6" s="5"/>
    </row>
    <row r="7" spans="1:5" ht="33.75" customHeight="1">
      <c r="A7" s="356" t="s">
        <v>5</v>
      </c>
      <c r="B7" s="356"/>
      <c r="C7" s="356"/>
      <c r="D7" s="210"/>
      <c r="E7" s="210"/>
    </row>
    <row r="8" ht="13.5" thickBot="1">
      <c r="C8" s="211" t="s">
        <v>263</v>
      </c>
    </row>
    <row r="9" spans="1:5" ht="26.25" thickBot="1">
      <c r="A9" s="212" t="s">
        <v>423</v>
      </c>
      <c r="B9" s="213" t="s">
        <v>6</v>
      </c>
      <c r="C9" s="213" t="s">
        <v>7</v>
      </c>
      <c r="D9" s="357"/>
      <c r="E9" s="357"/>
    </row>
    <row r="10" spans="1:3" ht="26.25" thickBot="1">
      <c r="A10" s="214" t="s">
        <v>8</v>
      </c>
      <c r="B10" s="215">
        <v>1000</v>
      </c>
      <c r="C10" s="216" t="s">
        <v>9</v>
      </c>
    </row>
    <row r="11" spans="1:3" ht="12.75" hidden="1">
      <c r="A11" s="217" t="s">
        <v>10</v>
      </c>
      <c r="B11" s="218"/>
      <c r="C11" s="219"/>
    </row>
    <row r="12" spans="1:3" ht="12.75" hidden="1">
      <c r="A12" s="217" t="s">
        <v>11</v>
      </c>
      <c r="B12" s="220"/>
      <c r="C12" s="219"/>
    </row>
    <row r="13" spans="1:3" ht="12.75" hidden="1">
      <c r="A13" s="221" t="s">
        <v>12</v>
      </c>
      <c r="B13" s="222"/>
      <c r="C13" s="219"/>
    </row>
    <row r="14" spans="1:3" ht="12.75" hidden="1">
      <c r="A14" s="221" t="s">
        <v>13</v>
      </c>
      <c r="B14" s="222"/>
      <c r="C14" s="219"/>
    </row>
    <row r="15" spans="1:3" ht="12.75" hidden="1">
      <c r="A15" s="221" t="s">
        <v>14</v>
      </c>
      <c r="B15" s="222"/>
      <c r="C15" s="219"/>
    </row>
    <row r="16" spans="1:3" ht="12.75" hidden="1">
      <c r="A16" s="223" t="s">
        <v>15</v>
      </c>
      <c r="B16" s="224"/>
      <c r="C16" s="219"/>
    </row>
    <row r="17" spans="1:3" ht="12.75" hidden="1">
      <c r="A17" s="223" t="s">
        <v>16</v>
      </c>
      <c r="B17" s="225"/>
      <c r="C17" s="219"/>
    </row>
    <row r="18" spans="1:3" ht="15" customHeight="1" hidden="1">
      <c r="A18" s="226" t="s">
        <v>17</v>
      </c>
      <c r="B18" s="237"/>
      <c r="C18" s="219"/>
    </row>
    <row r="19" spans="1:3" ht="26.25" customHeight="1" thickBot="1">
      <c r="A19" s="358" t="s">
        <v>18</v>
      </c>
      <c r="B19" s="239">
        <v>1000</v>
      </c>
      <c r="C19" s="216" t="s">
        <v>9</v>
      </c>
    </row>
    <row r="20" spans="1:3" ht="39" thickBot="1">
      <c r="A20" s="359"/>
      <c r="B20" s="238">
        <v>200</v>
      </c>
      <c r="C20" s="227" t="s">
        <v>27</v>
      </c>
    </row>
    <row r="21" spans="1:3" ht="15" customHeight="1" hidden="1">
      <c r="A21" s="228" t="s">
        <v>19</v>
      </c>
      <c r="B21" s="229"/>
      <c r="C21" s="230"/>
    </row>
    <row r="22" spans="1:3" ht="20.25" customHeight="1" thickBot="1">
      <c r="A22" s="231" t="s">
        <v>20</v>
      </c>
      <c r="B22" s="232">
        <f>SUM(B10:B21)</f>
        <v>2200</v>
      </c>
      <c r="C22" s="233"/>
    </row>
  </sheetData>
  <mergeCells count="3">
    <mergeCell ref="A7:C7"/>
    <mergeCell ref="D9:E9"/>
    <mergeCell ref="A19:A20"/>
  </mergeCells>
  <printOptions/>
  <pageMargins left="1.23"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32"/>
  <sheetViews>
    <sheetView view="pageBreakPreview" zoomScale="76" zoomScaleNormal="75" zoomScaleSheetLayoutView="76" workbookViewId="0" topLeftCell="A1">
      <selection activeCell="B43" sqref="B43"/>
    </sheetView>
  </sheetViews>
  <sheetFormatPr defaultColWidth="9.00390625" defaultRowHeight="12.75"/>
  <cols>
    <col min="2" max="2" width="36.375" style="0" customWidth="1"/>
    <col min="3" max="3" width="10.125" style="0" customWidth="1"/>
    <col min="4" max="4" width="10.625" style="0" customWidth="1"/>
    <col min="5" max="5" width="12.625" style="0" customWidth="1"/>
  </cols>
  <sheetData>
    <row r="1" spans="3:5" ht="12.75">
      <c r="C1" s="361" t="s">
        <v>58</v>
      </c>
      <c r="D1" s="361"/>
      <c r="E1" s="361"/>
    </row>
    <row r="2" spans="3:5" ht="12.75">
      <c r="C2" s="361" t="s">
        <v>77</v>
      </c>
      <c r="D2" s="361"/>
      <c r="E2" s="361"/>
    </row>
    <row r="3" spans="3:5" ht="12.75">
      <c r="C3" s="361" t="s">
        <v>62</v>
      </c>
      <c r="D3" s="361"/>
      <c r="E3" s="361"/>
    </row>
    <row r="4" spans="3:5" ht="12.75">
      <c r="C4" s="361"/>
      <c r="D4" s="361"/>
      <c r="E4" s="361"/>
    </row>
    <row r="5" spans="1:5" ht="12.75">
      <c r="A5" s="360" t="s">
        <v>64</v>
      </c>
      <c r="B5" s="360"/>
      <c r="C5" s="360"/>
      <c r="D5" s="360"/>
      <c r="E5" s="360"/>
    </row>
    <row r="7" ht="13.5" thickBot="1">
      <c r="E7" s="240" t="s">
        <v>263</v>
      </c>
    </row>
    <row r="8" spans="1:5" ht="26.25" thickBot="1">
      <c r="A8" s="241" t="s">
        <v>223</v>
      </c>
      <c r="B8" s="241" t="s">
        <v>25</v>
      </c>
      <c r="C8" s="241" t="s">
        <v>84</v>
      </c>
      <c r="D8" s="241" t="s">
        <v>225</v>
      </c>
      <c r="E8" s="241" t="s">
        <v>26</v>
      </c>
    </row>
    <row r="9" spans="1:5" ht="13.5" thickBot="1">
      <c r="A9" s="241">
        <v>1</v>
      </c>
      <c r="B9" s="241">
        <v>2</v>
      </c>
      <c r="C9" s="241">
        <v>3</v>
      </c>
      <c r="D9" s="241">
        <v>4</v>
      </c>
      <c r="E9" s="241">
        <v>5</v>
      </c>
    </row>
    <row r="10" spans="1:5" ht="13.5" thickBot="1">
      <c r="A10" s="241">
        <v>200000</v>
      </c>
      <c r="B10" s="242" t="s">
        <v>55</v>
      </c>
      <c r="C10" s="243">
        <f>D10+E10</f>
        <v>60655.10000000009</v>
      </c>
      <c r="D10" s="244">
        <f>D11</f>
        <v>60655.10000000009</v>
      </c>
      <c r="E10" s="249">
        <f>E12</f>
        <v>0</v>
      </c>
    </row>
    <row r="11" spans="1:5" ht="26.25" thickBot="1">
      <c r="A11" s="245">
        <v>208000</v>
      </c>
      <c r="B11" s="246" t="s">
        <v>56</v>
      </c>
      <c r="C11" s="243">
        <f>D11+E11</f>
        <v>60655.10000000009</v>
      </c>
      <c r="D11" s="244">
        <f>D12</f>
        <v>60655.10000000009</v>
      </c>
      <c r="E11" s="250">
        <f>E12</f>
        <v>0</v>
      </c>
    </row>
    <row r="12" spans="1:5" ht="13.5" thickBot="1">
      <c r="A12" s="245">
        <v>208100</v>
      </c>
      <c r="B12" s="246" t="s">
        <v>57</v>
      </c>
      <c r="C12" s="243">
        <f>D12+E12</f>
        <v>60655.10000000009</v>
      </c>
      <c r="D12" s="244">
        <f>-'№3 '!C158</f>
        <v>60655.10000000009</v>
      </c>
      <c r="E12" s="251">
        <f>-'№3 '!H158</f>
        <v>0</v>
      </c>
    </row>
    <row r="13" ht="12.75">
      <c r="B13" s="247"/>
    </row>
    <row r="14" ht="12.75">
      <c r="B14" s="247"/>
    </row>
    <row r="15" ht="12.75">
      <c r="B15" s="247"/>
    </row>
    <row r="16" ht="12.75">
      <c r="B16" s="247"/>
    </row>
    <row r="17" ht="12.75">
      <c r="B17" s="247"/>
    </row>
    <row r="18" ht="12.75">
      <c r="B18" s="247"/>
    </row>
    <row r="19" ht="12.75">
      <c r="B19" s="247"/>
    </row>
    <row r="20" ht="12.75">
      <c r="B20" s="247"/>
    </row>
    <row r="21" ht="12.75">
      <c r="B21" s="247"/>
    </row>
    <row r="22" ht="12.75">
      <c r="B22" s="247"/>
    </row>
    <row r="23" ht="12.75">
      <c r="B23" s="247"/>
    </row>
    <row r="24" ht="12.75">
      <c r="B24" s="247"/>
    </row>
    <row r="25" ht="12.75">
      <c r="B25" s="247"/>
    </row>
    <row r="26" ht="12.75">
      <c r="B26" s="247"/>
    </row>
    <row r="27" ht="12.75">
      <c r="B27" s="247"/>
    </row>
    <row r="28" ht="12.75">
      <c r="B28" s="247"/>
    </row>
    <row r="29" ht="12.75">
      <c r="B29" s="247"/>
    </row>
    <row r="30" ht="12.75">
      <c r="B30" s="247"/>
    </row>
    <row r="31" ht="12.75">
      <c r="B31" s="247"/>
    </row>
    <row r="32" ht="12.75">
      <c r="B32" s="247"/>
    </row>
  </sheetData>
  <mergeCells count="5">
    <mergeCell ref="A5:E5"/>
    <mergeCell ref="C1:E1"/>
    <mergeCell ref="C2:E2"/>
    <mergeCell ref="C3:E3"/>
    <mergeCell ref="C4:E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65"/>
  <sheetViews>
    <sheetView tabSelected="1" view="pageBreakPreview" zoomScale="80" zoomScaleNormal="90" zoomScaleSheetLayoutView="80" workbookViewId="0" topLeftCell="A25">
      <selection activeCell="B56" sqref="B56:C56"/>
    </sheetView>
  </sheetViews>
  <sheetFormatPr defaultColWidth="9.00390625" defaultRowHeight="12.75"/>
  <cols>
    <col min="1" max="1" width="3.25390625" style="107" customWidth="1"/>
    <col min="2" max="2" width="14.75390625" style="107" customWidth="1"/>
    <col min="3" max="3" width="13.00390625" style="107" customWidth="1"/>
    <col min="4" max="4" width="16.375" style="107" customWidth="1"/>
    <col min="5" max="5" width="8.125" style="257" hidden="1" customWidth="1"/>
    <col min="6" max="6" width="16.75390625" style="257" customWidth="1"/>
    <col min="7" max="7" width="13.25390625" style="257" hidden="1" customWidth="1"/>
    <col min="8" max="8" width="17.625" style="257" customWidth="1"/>
    <col min="9" max="9" width="9.875" style="257" hidden="1" customWidth="1"/>
    <col min="10" max="10" width="9.875" style="257" bestFit="1" customWidth="1"/>
    <col min="11" max="11" width="9.875" style="260" bestFit="1" customWidth="1"/>
  </cols>
  <sheetData>
    <row r="1" spans="7:12" ht="12.75">
      <c r="G1" s="327" t="s">
        <v>53</v>
      </c>
      <c r="H1" s="327"/>
      <c r="I1" s="327"/>
      <c r="J1" s="327"/>
      <c r="K1" s="327"/>
      <c r="L1" s="327"/>
    </row>
    <row r="2" spans="7:12" ht="12.75">
      <c r="G2" s="5" t="s">
        <v>77</v>
      </c>
      <c r="H2" s="367" t="s">
        <v>77</v>
      </c>
      <c r="I2" s="367"/>
      <c r="J2" s="367"/>
      <c r="K2" s="6"/>
      <c r="L2" s="6"/>
    </row>
    <row r="3" spans="7:12" ht="12.75">
      <c r="G3" s="316" t="s">
        <v>61</v>
      </c>
      <c r="H3" s="316"/>
      <c r="I3" s="316"/>
      <c r="J3" s="316"/>
      <c r="K3" s="316"/>
      <c r="L3" s="316"/>
    </row>
    <row r="6" spans="1:12" ht="24.75" customHeight="1">
      <c r="A6" s="370" t="s">
        <v>446</v>
      </c>
      <c r="B6" s="370"/>
      <c r="C6" s="370"/>
      <c r="D6" s="370"/>
      <c r="E6" s="370"/>
      <c r="F6" s="370"/>
      <c r="G6" s="370"/>
      <c r="H6" s="370"/>
      <c r="I6" s="370"/>
      <c r="J6" s="370"/>
      <c r="K6" s="268"/>
      <c r="L6" s="268"/>
    </row>
    <row r="7" spans="5:11" ht="12.75">
      <c r="E7"/>
      <c r="F7"/>
      <c r="G7"/>
      <c r="H7"/>
      <c r="K7" s="258"/>
    </row>
    <row r="8" spans="10:11" ht="9" customHeight="1">
      <c r="J8" s="257" t="s">
        <v>263</v>
      </c>
      <c r="K8" s="259" t="s">
        <v>28</v>
      </c>
    </row>
    <row r="9" spans="1:12" ht="12.75">
      <c r="A9" s="365" t="s">
        <v>54</v>
      </c>
      <c r="B9" s="368" t="s">
        <v>49</v>
      </c>
      <c r="C9" s="368"/>
      <c r="D9" s="369" t="s">
        <v>103</v>
      </c>
      <c r="E9" s="369"/>
      <c r="F9" s="369"/>
      <c r="G9" s="369"/>
      <c r="H9" s="369"/>
      <c r="I9" s="369"/>
      <c r="J9" s="369"/>
      <c r="K9" s="369"/>
      <c r="L9" s="271"/>
    </row>
    <row r="10" spans="1:11" ht="12.75" customHeight="1">
      <c r="A10" s="365"/>
      <c r="B10" s="372" t="s">
        <v>48</v>
      </c>
      <c r="C10" s="372"/>
      <c r="D10" s="368" t="s">
        <v>50</v>
      </c>
      <c r="E10" s="368"/>
      <c r="F10" s="368"/>
      <c r="G10" s="368"/>
      <c r="H10" s="368"/>
      <c r="I10" s="368"/>
      <c r="J10" s="365" t="s">
        <v>426</v>
      </c>
      <c r="K10" s="269"/>
    </row>
    <row r="11" spans="1:11" ht="25.5" customHeight="1" thickBot="1">
      <c r="A11" s="371"/>
      <c r="B11" s="272"/>
      <c r="C11" s="273" t="s">
        <v>47</v>
      </c>
      <c r="D11" s="362" t="s">
        <v>447</v>
      </c>
      <c r="E11" s="270"/>
      <c r="F11" s="365" t="s">
        <v>51</v>
      </c>
      <c r="G11" s="270"/>
      <c r="H11" s="365" t="s">
        <v>52</v>
      </c>
      <c r="I11" s="270"/>
      <c r="J11" s="365"/>
      <c r="K11" s="269"/>
    </row>
    <row r="12" spans="1:14" ht="70.5" customHeight="1">
      <c r="A12" s="371"/>
      <c r="B12" s="274" t="s">
        <v>423</v>
      </c>
      <c r="C12" s="266"/>
      <c r="D12" s="362"/>
      <c r="E12" s="270"/>
      <c r="F12" s="365"/>
      <c r="G12" s="270"/>
      <c r="H12" s="365"/>
      <c r="I12" s="270"/>
      <c r="J12" s="365"/>
      <c r="K12" s="269"/>
      <c r="N12" s="254"/>
    </row>
    <row r="13" spans="1:14" ht="12.75">
      <c r="A13" s="262">
        <v>1</v>
      </c>
      <c r="B13" s="363" t="s">
        <v>183</v>
      </c>
      <c r="C13" s="363"/>
      <c r="D13" s="275">
        <f>E13/1000</f>
        <v>100</v>
      </c>
      <c r="E13" s="275">
        <v>100000</v>
      </c>
      <c r="F13" s="275">
        <f>G13/1000</f>
        <v>300</v>
      </c>
      <c r="G13" s="275">
        <v>300000</v>
      </c>
      <c r="H13" s="275">
        <f>I13/1000</f>
        <v>1950</v>
      </c>
      <c r="I13" s="275">
        <v>1950000</v>
      </c>
      <c r="J13" s="275">
        <f>K13/1000</f>
        <v>2350</v>
      </c>
      <c r="K13" s="263">
        <f aca="true" t="shared" si="0" ref="K13:K60">E13+G13+I13</f>
        <v>2350000</v>
      </c>
      <c r="N13" s="255"/>
    </row>
    <row r="14" spans="1:14" ht="12.75">
      <c r="A14" s="262">
        <v>2</v>
      </c>
      <c r="B14" s="364" t="s">
        <v>175</v>
      </c>
      <c r="C14" s="364"/>
      <c r="D14" s="275">
        <f aca="true" t="shared" si="1" ref="D14:D60">E14/1000</f>
        <v>0</v>
      </c>
      <c r="E14" s="275">
        <v>0</v>
      </c>
      <c r="F14" s="275">
        <f aca="true" t="shared" si="2" ref="F14:F60">G14/1000</f>
        <v>0</v>
      </c>
      <c r="G14" s="275">
        <v>0</v>
      </c>
      <c r="H14" s="275">
        <f aca="true" t="shared" si="3" ref="H14:H60">I14/1000</f>
        <v>64.433</v>
      </c>
      <c r="I14" s="275">
        <v>64433</v>
      </c>
      <c r="J14" s="275">
        <f aca="true" t="shared" si="4" ref="J14:J60">K14/1000</f>
        <v>64.433</v>
      </c>
      <c r="K14" s="263">
        <f t="shared" si="0"/>
        <v>64433</v>
      </c>
      <c r="N14" s="255"/>
    </row>
    <row r="15" spans="1:14" ht="12.75">
      <c r="A15" s="262">
        <v>3</v>
      </c>
      <c r="B15" s="364" t="s">
        <v>176</v>
      </c>
      <c r="C15" s="364"/>
      <c r="D15" s="275">
        <f t="shared" si="1"/>
        <v>15.4</v>
      </c>
      <c r="E15" s="275">
        <v>15400</v>
      </c>
      <c r="F15" s="275">
        <f t="shared" si="2"/>
        <v>8</v>
      </c>
      <c r="G15" s="275">
        <v>8000</v>
      </c>
      <c r="H15" s="275">
        <f t="shared" si="3"/>
        <v>100</v>
      </c>
      <c r="I15" s="275">
        <v>100000</v>
      </c>
      <c r="J15" s="275">
        <f t="shared" si="4"/>
        <v>123.4</v>
      </c>
      <c r="K15" s="263">
        <f t="shared" si="0"/>
        <v>123400</v>
      </c>
      <c r="N15" s="255"/>
    </row>
    <row r="16" spans="1:14" ht="13.5" thickBot="1">
      <c r="A16" s="262">
        <v>4</v>
      </c>
      <c r="B16" s="364" t="s">
        <v>198</v>
      </c>
      <c r="C16" s="364"/>
      <c r="D16" s="275">
        <f t="shared" si="1"/>
        <v>2.7</v>
      </c>
      <c r="E16" s="275">
        <v>2700</v>
      </c>
      <c r="F16" s="275">
        <f t="shared" si="2"/>
        <v>2</v>
      </c>
      <c r="G16" s="275">
        <v>2000</v>
      </c>
      <c r="H16" s="275">
        <f t="shared" si="3"/>
        <v>23.8</v>
      </c>
      <c r="I16" s="275">
        <v>23800</v>
      </c>
      <c r="J16" s="275">
        <f t="shared" si="4"/>
        <v>28.5</v>
      </c>
      <c r="K16" s="263">
        <f t="shared" si="0"/>
        <v>28500</v>
      </c>
      <c r="N16" s="256"/>
    </row>
    <row r="17" spans="1:11" ht="12.75">
      <c r="A17" s="262">
        <v>5</v>
      </c>
      <c r="B17" s="364" t="s">
        <v>177</v>
      </c>
      <c r="C17" s="364"/>
      <c r="D17" s="275">
        <f t="shared" si="1"/>
        <v>91.984</v>
      </c>
      <c r="E17" s="275">
        <v>91984</v>
      </c>
      <c r="F17" s="275">
        <f t="shared" si="2"/>
        <v>108.402</v>
      </c>
      <c r="G17" s="275">
        <v>108402</v>
      </c>
      <c r="H17" s="275">
        <f t="shared" si="3"/>
        <v>461.326</v>
      </c>
      <c r="I17" s="275">
        <v>461326</v>
      </c>
      <c r="J17" s="275">
        <f t="shared" si="4"/>
        <v>661.712</v>
      </c>
      <c r="K17" s="263">
        <f t="shared" si="0"/>
        <v>661712</v>
      </c>
    </row>
    <row r="18" spans="1:11" ht="12.75">
      <c r="A18" s="262">
        <v>6</v>
      </c>
      <c r="B18" s="364" t="s">
        <v>178</v>
      </c>
      <c r="C18" s="364"/>
      <c r="D18" s="275">
        <f t="shared" si="1"/>
        <v>0</v>
      </c>
      <c r="E18" s="275">
        <v>0</v>
      </c>
      <c r="F18" s="275">
        <f t="shared" si="2"/>
        <v>0</v>
      </c>
      <c r="G18" s="275">
        <v>0</v>
      </c>
      <c r="H18" s="275">
        <f t="shared" si="3"/>
        <v>0</v>
      </c>
      <c r="I18" s="275">
        <v>0</v>
      </c>
      <c r="J18" s="275">
        <f t="shared" si="4"/>
        <v>0</v>
      </c>
      <c r="K18" s="263">
        <f t="shared" si="0"/>
        <v>0</v>
      </c>
    </row>
    <row r="19" spans="1:11" ht="12.75">
      <c r="A19" s="262">
        <v>7</v>
      </c>
      <c r="B19" s="364" t="s">
        <v>179</v>
      </c>
      <c r="C19" s="364"/>
      <c r="D19" s="275">
        <f t="shared" si="1"/>
        <v>4.761</v>
      </c>
      <c r="E19" s="275">
        <v>4761</v>
      </c>
      <c r="F19" s="275">
        <f t="shared" si="2"/>
        <v>10.792</v>
      </c>
      <c r="G19" s="275">
        <v>10792</v>
      </c>
      <c r="H19" s="275">
        <f t="shared" si="3"/>
        <v>132.53</v>
      </c>
      <c r="I19" s="275">
        <v>132530</v>
      </c>
      <c r="J19" s="275">
        <f t="shared" si="4"/>
        <v>148.083</v>
      </c>
      <c r="K19" s="263">
        <f t="shared" si="0"/>
        <v>148083</v>
      </c>
    </row>
    <row r="20" spans="1:11" ht="12.75">
      <c r="A20" s="262">
        <v>8</v>
      </c>
      <c r="B20" s="364" t="s">
        <v>29</v>
      </c>
      <c r="C20" s="364"/>
      <c r="D20" s="275">
        <f t="shared" si="1"/>
        <v>10.8</v>
      </c>
      <c r="E20" s="275">
        <v>10800</v>
      </c>
      <c r="F20" s="275">
        <f t="shared" si="2"/>
        <v>11.6</v>
      </c>
      <c r="G20" s="275">
        <v>11600</v>
      </c>
      <c r="H20" s="275">
        <f t="shared" si="3"/>
        <v>85</v>
      </c>
      <c r="I20" s="275">
        <v>85000</v>
      </c>
      <c r="J20" s="275">
        <f t="shared" si="4"/>
        <v>107.4</v>
      </c>
      <c r="K20" s="263">
        <f t="shared" si="0"/>
        <v>107400</v>
      </c>
    </row>
    <row r="21" spans="1:11" ht="12.75">
      <c r="A21" s="262">
        <v>9</v>
      </c>
      <c r="B21" s="364" t="s">
        <v>181</v>
      </c>
      <c r="C21" s="364"/>
      <c r="D21" s="275">
        <f t="shared" si="1"/>
        <v>8.5</v>
      </c>
      <c r="E21" s="275">
        <v>8500</v>
      </c>
      <c r="F21" s="275">
        <f t="shared" si="2"/>
        <v>5.2</v>
      </c>
      <c r="G21" s="275">
        <v>5200</v>
      </c>
      <c r="H21" s="275">
        <f t="shared" si="3"/>
        <v>134.1</v>
      </c>
      <c r="I21" s="275">
        <v>134100</v>
      </c>
      <c r="J21" s="275">
        <f t="shared" si="4"/>
        <v>147.8</v>
      </c>
      <c r="K21" s="263">
        <f t="shared" si="0"/>
        <v>147800</v>
      </c>
    </row>
    <row r="22" spans="1:11" ht="12.75">
      <c r="A22" s="262">
        <v>10</v>
      </c>
      <c r="B22" s="364" t="s">
        <v>182</v>
      </c>
      <c r="C22" s="364"/>
      <c r="D22" s="275">
        <f t="shared" si="1"/>
        <v>4.093</v>
      </c>
      <c r="E22" s="275">
        <v>4093</v>
      </c>
      <c r="F22" s="275">
        <f t="shared" si="2"/>
        <v>4.54</v>
      </c>
      <c r="G22" s="275">
        <v>4540</v>
      </c>
      <c r="H22" s="275">
        <f t="shared" si="3"/>
        <v>53.021</v>
      </c>
      <c r="I22" s="275">
        <v>53021</v>
      </c>
      <c r="J22" s="275">
        <f t="shared" si="4"/>
        <v>61.654</v>
      </c>
      <c r="K22" s="263">
        <f t="shared" si="0"/>
        <v>61654</v>
      </c>
    </row>
    <row r="23" spans="1:11" ht="12.75">
      <c r="A23" s="262">
        <v>11</v>
      </c>
      <c r="B23" s="364" t="s">
        <v>184</v>
      </c>
      <c r="C23" s="364"/>
      <c r="D23" s="275">
        <f t="shared" si="1"/>
        <v>4</v>
      </c>
      <c r="E23" s="275">
        <v>4000</v>
      </c>
      <c r="F23" s="275">
        <f t="shared" si="2"/>
        <v>3</v>
      </c>
      <c r="G23" s="275">
        <v>3000</v>
      </c>
      <c r="H23" s="275">
        <f t="shared" si="3"/>
        <v>100</v>
      </c>
      <c r="I23" s="275">
        <v>100000</v>
      </c>
      <c r="J23" s="275">
        <f t="shared" si="4"/>
        <v>107</v>
      </c>
      <c r="K23" s="263">
        <f t="shared" si="0"/>
        <v>107000</v>
      </c>
    </row>
    <row r="24" spans="1:11" ht="12.75">
      <c r="A24" s="262">
        <v>12</v>
      </c>
      <c r="B24" s="364" t="s">
        <v>185</v>
      </c>
      <c r="C24" s="364"/>
      <c r="D24" s="275">
        <f t="shared" si="1"/>
        <v>10.2</v>
      </c>
      <c r="E24" s="275">
        <v>10200</v>
      </c>
      <c r="F24" s="275">
        <f t="shared" si="2"/>
        <v>20</v>
      </c>
      <c r="G24" s="275">
        <v>20000</v>
      </c>
      <c r="H24" s="275">
        <f t="shared" si="3"/>
        <v>204.6</v>
      </c>
      <c r="I24" s="275">
        <v>204600</v>
      </c>
      <c r="J24" s="275">
        <f t="shared" si="4"/>
        <v>234.8</v>
      </c>
      <c r="K24" s="263">
        <f t="shared" si="0"/>
        <v>234800</v>
      </c>
    </row>
    <row r="25" spans="1:11" ht="12.75">
      <c r="A25" s="262">
        <v>13</v>
      </c>
      <c r="B25" s="364" t="s">
        <v>186</v>
      </c>
      <c r="C25" s="364"/>
      <c r="D25" s="275">
        <f t="shared" si="1"/>
        <v>2.457</v>
      </c>
      <c r="E25" s="275">
        <v>2457</v>
      </c>
      <c r="F25" s="275">
        <f t="shared" si="2"/>
        <v>5.675</v>
      </c>
      <c r="G25" s="275">
        <v>5675</v>
      </c>
      <c r="H25" s="275">
        <f t="shared" si="3"/>
        <v>18.007</v>
      </c>
      <c r="I25" s="275">
        <v>18007</v>
      </c>
      <c r="J25" s="275">
        <f t="shared" si="4"/>
        <v>26.139</v>
      </c>
      <c r="K25" s="263">
        <f t="shared" si="0"/>
        <v>26139</v>
      </c>
    </row>
    <row r="26" spans="1:11" ht="12.75">
      <c r="A26" s="262">
        <v>14</v>
      </c>
      <c r="B26" s="364" t="s">
        <v>430</v>
      </c>
      <c r="C26" s="364"/>
      <c r="D26" s="275">
        <f t="shared" si="1"/>
        <v>3.8</v>
      </c>
      <c r="E26" s="275">
        <v>3800</v>
      </c>
      <c r="F26" s="275">
        <f t="shared" si="2"/>
        <v>20</v>
      </c>
      <c r="G26" s="275">
        <v>20000</v>
      </c>
      <c r="H26" s="275">
        <f t="shared" si="3"/>
        <v>42</v>
      </c>
      <c r="I26" s="275">
        <v>42000</v>
      </c>
      <c r="J26" s="275">
        <f t="shared" si="4"/>
        <v>65.8</v>
      </c>
      <c r="K26" s="263">
        <f t="shared" si="0"/>
        <v>65800</v>
      </c>
    </row>
    <row r="27" spans="1:11" ht="12.75">
      <c r="A27" s="262">
        <v>15</v>
      </c>
      <c r="B27" s="364" t="s">
        <v>187</v>
      </c>
      <c r="C27" s="364"/>
      <c r="D27" s="275">
        <f t="shared" si="1"/>
        <v>22</v>
      </c>
      <c r="E27" s="275">
        <v>22000</v>
      </c>
      <c r="F27" s="275">
        <f t="shared" si="2"/>
        <v>8.522</v>
      </c>
      <c r="G27" s="275">
        <v>8522</v>
      </c>
      <c r="H27" s="275">
        <f t="shared" si="3"/>
        <v>200</v>
      </c>
      <c r="I27" s="275">
        <v>200000</v>
      </c>
      <c r="J27" s="275">
        <f t="shared" si="4"/>
        <v>230.522</v>
      </c>
      <c r="K27" s="263">
        <f t="shared" si="0"/>
        <v>230522</v>
      </c>
    </row>
    <row r="28" spans="1:11" ht="12.75">
      <c r="A28" s="262">
        <v>16</v>
      </c>
      <c r="B28" s="364" t="s">
        <v>188</v>
      </c>
      <c r="C28" s="364"/>
      <c r="D28" s="275">
        <f t="shared" si="1"/>
        <v>55.201</v>
      </c>
      <c r="E28" s="275">
        <v>55201</v>
      </c>
      <c r="F28" s="275">
        <f t="shared" si="2"/>
        <v>85.125</v>
      </c>
      <c r="G28" s="275">
        <v>85125</v>
      </c>
      <c r="H28" s="275">
        <f t="shared" si="3"/>
        <v>329.839</v>
      </c>
      <c r="I28" s="275">
        <v>329839</v>
      </c>
      <c r="J28" s="275">
        <f t="shared" si="4"/>
        <v>470.165</v>
      </c>
      <c r="K28" s="263">
        <f t="shared" si="0"/>
        <v>470165</v>
      </c>
    </row>
    <row r="29" spans="1:11" ht="12.75">
      <c r="A29" s="262">
        <v>17</v>
      </c>
      <c r="B29" s="364" t="s">
        <v>190</v>
      </c>
      <c r="C29" s="364"/>
      <c r="D29" s="275">
        <f t="shared" si="1"/>
        <v>7.202</v>
      </c>
      <c r="E29" s="275">
        <v>7202</v>
      </c>
      <c r="F29" s="275">
        <f t="shared" si="2"/>
        <v>5.675</v>
      </c>
      <c r="G29" s="275">
        <v>5675</v>
      </c>
      <c r="H29" s="275">
        <f t="shared" si="3"/>
        <v>97.279</v>
      </c>
      <c r="I29" s="275">
        <v>97279</v>
      </c>
      <c r="J29" s="275">
        <f t="shared" si="4"/>
        <v>110.156</v>
      </c>
      <c r="K29" s="263">
        <f t="shared" si="0"/>
        <v>110156</v>
      </c>
    </row>
    <row r="30" spans="1:11" ht="12.75">
      <c r="A30" s="262">
        <v>18</v>
      </c>
      <c r="B30" s="364" t="s">
        <v>189</v>
      </c>
      <c r="C30" s="364"/>
      <c r="D30" s="275">
        <f t="shared" si="1"/>
        <v>4.9</v>
      </c>
      <c r="E30" s="275">
        <v>4900</v>
      </c>
      <c r="F30" s="275">
        <f t="shared" si="2"/>
        <v>3.3</v>
      </c>
      <c r="G30" s="275">
        <v>3300</v>
      </c>
      <c r="H30" s="275">
        <f t="shared" si="3"/>
        <v>264.8</v>
      </c>
      <c r="I30" s="276">
        <f>124800+140000</f>
        <v>264800</v>
      </c>
      <c r="J30" s="275">
        <f t="shared" si="4"/>
        <v>273</v>
      </c>
      <c r="K30" s="263">
        <f t="shared" si="0"/>
        <v>273000</v>
      </c>
    </row>
    <row r="31" spans="1:11" ht="12.75">
      <c r="A31" s="262">
        <v>19</v>
      </c>
      <c r="B31" s="364" t="s">
        <v>191</v>
      </c>
      <c r="C31" s="364"/>
      <c r="D31" s="275">
        <f t="shared" si="1"/>
        <v>59</v>
      </c>
      <c r="E31" s="275">
        <v>59000</v>
      </c>
      <c r="F31" s="275">
        <f t="shared" si="2"/>
        <v>127.7</v>
      </c>
      <c r="G31" s="275">
        <v>127700</v>
      </c>
      <c r="H31" s="275">
        <f t="shared" si="3"/>
        <v>747.3</v>
      </c>
      <c r="I31" s="275">
        <v>747300</v>
      </c>
      <c r="J31" s="275">
        <f t="shared" si="4"/>
        <v>934</v>
      </c>
      <c r="K31" s="263">
        <f t="shared" si="0"/>
        <v>934000</v>
      </c>
    </row>
    <row r="32" spans="1:11" ht="12.75">
      <c r="A32" s="262">
        <v>20</v>
      </c>
      <c r="B32" s="364" t="s">
        <v>192</v>
      </c>
      <c r="C32" s="364"/>
      <c r="D32" s="275">
        <f t="shared" si="1"/>
        <v>0</v>
      </c>
      <c r="E32" s="275">
        <v>0</v>
      </c>
      <c r="F32" s="275">
        <f t="shared" si="2"/>
        <v>0</v>
      </c>
      <c r="G32" s="275">
        <v>0</v>
      </c>
      <c r="H32" s="275">
        <f t="shared" si="3"/>
        <v>0</v>
      </c>
      <c r="I32" s="275">
        <v>0</v>
      </c>
      <c r="J32" s="275">
        <f t="shared" si="4"/>
        <v>0</v>
      </c>
      <c r="K32" s="263">
        <f t="shared" si="0"/>
        <v>0</v>
      </c>
    </row>
    <row r="33" spans="1:11" ht="12.75">
      <c r="A33" s="262">
        <v>21</v>
      </c>
      <c r="B33" s="364" t="s">
        <v>193</v>
      </c>
      <c r="C33" s="364"/>
      <c r="D33" s="275">
        <f t="shared" si="1"/>
        <v>2.001</v>
      </c>
      <c r="E33" s="275">
        <v>2001</v>
      </c>
      <c r="F33" s="275">
        <f t="shared" si="2"/>
        <v>9.1</v>
      </c>
      <c r="G33" s="275">
        <v>9100</v>
      </c>
      <c r="H33" s="275">
        <f t="shared" si="3"/>
        <v>40.023</v>
      </c>
      <c r="I33" s="275">
        <v>40023</v>
      </c>
      <c r="J33" s="275">
        <f t="shared" si="4"/>
        <v>51.124</v>
      </c>
      <c r="K33" s="263">
        <f t="shared" si="0"/>
        <v>51124</v>
      </c>
    </row>
    <row r="34" spans="1:11" ht="12.75">
      <c r="A34" s="262">
        <v>22</v>
      </c>
      <c r="B34" s="364" t="s">
        <v>194</v>
      </c>
      <c r="C34" s="364"/>
      <c r="D34" s="275">
        <f t="shared" si="1"/>
        <v>13.136</v>
      </c>
      <c r="E34" s="275">
        <v>13136</v>
      </c>
      <c r="F34" s="275">
        <f t="shared" si="2"/>
        <v>5.6</v>
      </c>
      <c r="G34" s="275">
        <v>5600</v>
      </c>
      <c r="H34" s="275">
        <f t="shared" si="3"/>
        <v>81.264</v>
      </c>
      <c r="I34" s="275">
        <v>81264</v>
      </c>
      <c r="J34" s="275">
        <f t="shared" si="4"/>
        <v>100</v>
      </c>
      <c r="K34" s="263">
        <f t="shared" si="0"/>
        <v>100000</v>
      </c>
    </row>
    <row r="35" spans="1:11" ht="12.75">
      <c r="A35" s="262">
        <v>23</v>
      </c>
      <c r="B35" s="364" t="s">
        <v>195</v>
      </c>
      <c r="C35" s="364"/>
      <c r="D35" s="275">
        <f t="shared" si="1"/>
        <v>79.4</v>
      </c>
      <c r="E35" s="275">
        <v>79400</v>
      </c>
      <c r="F35" s="275">
        <f t="shared" si="2"/>
        <v>28.4</v>
      </c>
      <c r="G35" s="275">
        <v>28400</v>
      </c>
      <c r="H35" s="275">
        <f t="shared" si="3"/>
        <v>183.6</v>
      </c>
      <c r="I35" s="275">
        <v>183600</v>
      </c>
      <c r="J35" s="275">
        <f t="shared" si="4"/>
        <v>291.4</v>
      </c>
      <c r="K35" s="263">
        <f t="shared" si="0"/>
        <v>291400</v>
      </c>
    </row>
    <row r="36" spans="1:11" ht="12.75">
      <c r="A36" s="262">
        <v>24</v>
      </c>
      <c r="B36" s="364" t="s">
        <v>196</v>
      </c>
      <c r="C36" s="364"/>
      <c r="D36" s="275">
        <f t="shared" si="1"/>
        <v>12.8</v>
      </c>
      <c r="E36" s="275">
        <v>12800</v>
      </c>
      <c r="F36" s="275">
        <f t="shared" si="2"/>
        <v>8.6</v>
      </c>
      <c r="G36" s="275">
        <v>8600</v>
      </c>
      <c r="H36" s="275">
        <f t="shared" si="3"/>
        <v>72.1</v>
      </c>
      <c r="I36" s="275">
        <v>72100</v>
      </c>
      <c r="J36" s="275">
        <f t="shared" si="4"/>
        <v>93.5</v>
      </c>
      <c r="K36" s="263">
        <f t="shared" si="0"/>
        <v>93500</v>
      </c>
    </row>
    <row r="37" spans="1:11" ht="12.75">
      <c r="A37" s="262">
        <v>25</v>
      </c>
      <c r="B37" s="364" t="s">
        <v>197</v>
      </c>
      <c r="C37" s="364"/>
      <c r="D37" s="275">
        <f t="shared" si="1"/>
        <v>17</v>
      </c>
      <c r="E37" s="275">
        <v>17000</v>
      </c>
      <c r="F37" s="275">
        <f t="shared" si="2"/>
        <v>11</v>
      </c>
      <c r="G37" s="275">
        <v>11000</v>
      </c>
      <c r="H37" s="275">
        <f t="shared" si="3"/>
        <v>146.5</v>
      </c>
      <c r="I37" s="275">
        <v>146500</v>
      </c>
      <c r="J37" s="275">
        <f t="shared" si="4"/>
        <v>174.5</v>
      </c>
      <c r="K37" s="263">
        <f t="shared" si="0"/>
        <v>174500</v>
      </c>
    </row>
    <row r="38" spans="1:11" ht="12.75">
      <c r="A38" s="262">
        <v>26</v>
      </c>
      <c r="B38" s="364" t="s">
        <v>448</v>
      </c>
      <c r="C38" s="364"/>
      <c r="D38" s="275">
        <f t="shared" si="1"/>
        <v>0</v>
      </c>
      <c r="E38" s="275">
        <v>0</v>
      </c>
      <c r="F38" s="275">
        <f t="shared" si="2"/>
        <v>0</v>
      </c>
      <c r="G38" s="275">
        <v>0</v>
      </c>
      <c r="H38" s="275">
        <f t="shared" si="3"/>
        <v>70</v>
      </c>
      <c r="I38" s="275">
        <v>70000</v>
      </c>
      <c r="J38" s="275">
        <f t="shared" si="4"/>
        <v>70</v>
      </c>
      <c r="K38" s="263">
        <f t="shared" si="0"/>
        <v>70000</v>
      </c>
    </row>
    <row r="39" spans="1:11" ht="12.75">
      <c r="A39" s="262">
        <v>27</v>
      </c>
      <c r="B39" s="364" t="s">
        <v>200</v>
      </c>
      <c r="C39" s="364"/>
      <c r="D39" s="275">
        <f t="shared" si="1"/>
        <v>10</v>
      </c>
      <c r="E39" s="275">
        <v>10000</v>
      </c>
      <c r="F39" s="275">
        <f t="shared" si="2"/>
        <v>3</v>
      </c>
      <c r="G39" s="275">
        <v>3000</v>
      </c>
      <c r="H39" s="275">
        <f t="shared" si="3"/>
        <v>119.8</v>
      </c>
      <c r="I39" s="275">
        <v>119800</v>
      </c>
      <c r="J39" s="275">
        <f t="shared" si="4"/>
        <v>132.8</v>
      </c>
      <c r="K39" s="263">
        <f t="shared" si="0"/>
        <v>132800</v>
      </c>
    </row>
    <row r="40" spans="1:11" ht="12.75">
      <c r="A40" s="262">
        <v>28</v>
      </c>
      <c r="B40" s="364" t="s">
        <v>201</v>
      </c>
      <c r="C40" s="364"/>
      <c r="D40" s="275">
        <f t="shared" si="1"/>
        <v>3.556</v>
      </c>
      <c r="E40" s="275">
        <v>3556</v>
      </c>
      <c r="F40" s="275">
        <f t="shared" si="2"/>
        <v>4.2</v>
      </c>
      <c r="G40" s="275">
        <v>4200</v>
      </c>
      <c r="H40" s="275">
        <f t="shared" si="3"/>
        <v>0</v>
      </c>
      <c r="I40" s="275">
        <v>0</v>
      </c>
      <c r="J40" s="275">
        <f t="shared" si="4"/>
        <v>7.756</v>
      </c>
      <c r="K40" s="263">
        <f t="shared" si="0"/>
        <v>7756</v>
      </c>
    </row>
    <row r="41" spans="1:11" s="267" customFormat="1" ht="12.75">
      <c r="A41" s="365" t="s">
        <v>449</v>
      </c>
      <c r="B41" s="365"/>
      <c r="C41" s="365"/>
      <c r="D41" s="277">
        <f t="shared" si="1"/>
        <v>544.891</v>
      </c>
      <c r="E41" s="277">
        <f>SUM(E13:E40)</f>
        <v>544891</v>
      </c>
      <c r="F41" s="277">
        <f t="shared" si="2"/>
        <v>799.431</v>
      </c>
      <c r="G41" s="277">
        <f>SUM(G13:G40)</f>
        <v>799431</v>
      </c>
      <c r="H41" s="277">
        <f t="shared" si="3"/>
        <v>5721.322</v>
      </c>
      <c r="I41" s="277">
        <f>SUM(I13:I40)</f>
        <v>5721322</v>
      </c>
      <c r="J41" s="277">
        <f t="shared" si="4"/>
        <v>7065.644</v>
      </c>
      <c r="K41" s="263">
        <f t="shared" si="0"/>
        <v>7065644</v>
      </c>
    </row>
    <row r="42" spans="1:11" ht="12.75">
      <c r="A42" s="262">
        <v>29</v>
      </c>
      <c r="B42" s="364" t="s">
        <v>30</v>
      </c>
      <c r="C42" s="364"/>
      <c r="D42" s="275">
        <f t="shared" si="1"/>
        <v>2.528</v>
      </c>
      <c r="E42" s="275">
        <v>2528</v>
      </c>
      <c r="F42" s="275">
        <f t="shared" si="2"/>
        <v>6.867</v>
      </c>
      <c r="G42" s="275">
        <v>6867</v>
      </c>
      <c r="H42" s="275">
        <f t="shared" si="3"/>
        <v>54.929</v>
      </c>
      <c r="I42" s="275">
        <v>54929</v>
      </c>
      <c r="J42" s="275">
        <f t="shared" si="4"/>
        <v>64.324</v>
      </c>
      <c r="K42" s="263">
        <f t="shared" si="0"/>
        <v>64324</v>
      </c>
    </row>
    <row r="43" spans="1:11" ht="12.75">
      <c r="A43" s="262">
        <v>30</v>
      </c>
      <c r="B43" s="364" t="s">
        <v>31</v>
      </c>
      <c r="C43" s="364"/>
      <c r="D43" s="275">
        <f t="shared" si="1"/>
        <v>4.5</v>
      </c>
      <c r="E43" s="275">
        <v>4500</v>
      </c>
      <c r="F43" s="275">
        <f t="shared" si="2"/>
        <v>3</v>
      </c>
      <c r="G43" s="275">
        <v>3000</v>
      </c>
      <c r="H43" s="275">
        <f t="shared" si="3"/>
        <v>45</v>
      </c>
      <c r="I43" s="275">
        <v>45000</v>
      </c>
      <c r="J43" s="275">
        <f t="shared" si="4"/>
        <v>52.5</v>
      </c>
      <c r="K43" s="263">
        <f t="shared" si="0"/>
        <v>52500</v>
      </c>
    </row>
    <row r="44" spans="1:11" ht="12.75">
      <c r="A44" s="262">
        <v>31</v>
      </c>
      <c r="B44" s="364" t="s">
        <v>32</v>
      </c>
      <c r="C44" s="364"/>
      <c r="D44" s="275">
        <f t="shared" si="1"/>
        <v>5.209</v>
      </c>
      <c r="E44" s="275">
        <v>5209</v>
      </c>
      <c r="F44" s="275">
        <f t="shared" si="2"/>
        <v>3.126</v>
      </c>
      <c r="G44" s="275">
        <v>3126</v>
      </c>
      <c r="H44" s="275">
        <f t="shared" si="3"/>
        <v>118.246</v>
      </c>
      <c r="I44" s="275">
        <v>118246</v>
      </c>
      <c r="J44" s="275">
        <f t="shared" si="4"/>
        <v>126.581</v>
      </c>
      <c r="K44" s="263">
        <f t="shared" si="0"/>
        <v>126581</v>
      </c>
    </row>
    <row r="45" spans="1:11" ht="12.75">
      <c r="A45" s="262">
        <v>32</v>
      </c>
      <c r="B45" s="364" t="s">
        <v>33</v>
      </c>
      <c r="C45" s="364"/>
      <c r="D45" s="275">
        <f t="shared" si="1"/>
        <v>0</v>
      </c>
      <c r="E45" s="275">
        <v>0</v>
      </c>
      <c r="F45" s="275">
        <f t="shared" si="2"/>
        <v>0</v>
      </c>
      <c r="G45" s="275">
        <v>0</v>
      </c>
      <c r="H45" s="275">
        <f t="shared" si="3"/>
        <v>39.5</v>
      </c>
      <c r="I45" s="275">
        <v>39500</v>
      </c>
      <c r="J45" s="275">
        <f t="shared" si="4"/>
        <v>39.5</v>
      </c>
      <c r="K45" s="263">
        <f t="shared" si="0"/>
        <v>39500</v>
      </c>
    </row>
    <row r="46" spans="1:11" ht="12.75">
      <c r="A46" s="262">
        <v>33</v>
      </c>
      <c r="B46" s="364" t="s">
        <v>34</v>
      </c>
      <c r="C46" s="364"/>
      <c r="D46" s="275">
        <f t="shared" si="1"/>
        <v>0</v>
      </c>
      <c r="E46" s="275">
        <v>0</v>
      </c>
      <c r="F46" s="275">
        <f t="shared" si="2"/>
        <v>0</v>
      </c>
      <c r="G46" s="275">
        <v>0</v>
      </c>
      <c r="H46" s="275">
        <f t="shared" si="3"/>
        <v>0</v>
      </c>
      <c r="I46" s="275">
        <v>0</v>
      </c>
      <c r="J46" s="275">
        <f t="shared" si="4"/>
        <v>0</v>
      </c>
      <c r="K46" s="263">
        <f t="shared" si="0"/>
        <v>0</v>
      </c>
    </row>
    <row r="47" spans="1:11" ht="12.75">
      <c r="A47" s="262">
        <v>34</v>
      </c>
      <c r="B47" s="364" t="s">
        <v>35</v>
      </c>
      <c r="C47" s="364"/>
      <c r="D47" s="275">
        <f t="shared" si="1"/>
        <v>6.105</v>
      </c>
      <c r="E47" s="275">
        <v>6105</v>
      </c>
      <c r="F47" s="275">
        <f t="shared" si="2"/>
        <v>2.27</v>
      </c>
      <c r="G47" s="275">
        <v>2270</v>
      </c>
      <c r="H47" s="275">
        <f t="shared" si="3"/>
        <v>41.702</v>
      </c>
      <c r="I47" s="275">
        <v>41702</v>
      </c>
      <c r="J47" s="275">
        <f t="shared" si="4"/>
        <v>50.077</v>
      </c>
      <c r="K47" s="263">
        <f t="shared" si="0"/>
        <v>50077</v>
      </c>
    </row>
    <row r="48" spans="1:11" ht="12.75">
      <c r="A48" s="262">
        <v>35</v>
      </c>
      <c r="B48" s="364" t="s">
        <v>450</v>
      </c>
      <c r="C48" s="364"/>
      <c r="D48" s="275">
        <f t="shared" si="1"/>
        <v>6</v>
      </c>
      <c r="E48" s="275">
        <v>6000</v>
      </c>
      <c r="F48" s="275">
        <f t="shared" si="2"/>
        <v>0.6</v>
      </c>
      <c r="G48" s="275">
        <v>600</v>
      </c>
      <c r="H48" s="275">
        <f t="shared" si="3"/>
        <v>38.4</v>
      </c>
      <c r="I48" s="275">
        <v>38400</v>
      </c>
      <c r="J48" s="275">
        <f t="shared" si="4"/>
        <v>45</v>
      </c>
      <c r="K48" s="263">
        <f t="shared" si="0"/>
        <v>45000</v>
      </c>
    </row>
    <row r="49" spans="1:11" ht="12.75">
      <c r="A49" s="262">
        <v>36</v>
      </c>
      <c r="B49" s="364" t="s">
        <v>36</v>
      </c>
      <c r="C49" s="364"/>
      <c r="D49" s="275">
        <f t="shared" si="1"/>
        <v>2.2</v>
      </c>
      <c r="E49" s="275">
        <v>2200</v>
      </c>
      <c r="F49" s="275">
        <f t="shared" si="2"/>
        <v>3.6</v>
      </c>
      <c r="G49" s="275">
        <v>3600</v>
      </c>
      <c r="H49" s="275">
        <f t="shared" si="3"/>
        <v>49</v>
      </c>
      <c r="I49" s="275">
        <v>49000</v>
      </c>
      <c r="J49" s="275">
        <f t="shared" si="4"/>
        <v>54.8</v>
      </c>
      <c r="K49" s="263">
        <f t="shared" si="0"/>
        <v>54800</v>
      </c>
    </row>
    <row r="50" spans="1:11" ht="12.75">
      <c r="A50" s="262">
        <v>37</v>
      </c>
      <c r="B50" s="364" t="s">
        <v>37</v>
      </c>
      <c r="C50" s="364"/>
      <c r="D50" s="275">
        <f t="shared" si="1"/>
        <v>12.758</v>
      </c>
      <c r="E50" s="275">
        <v>12758</v>
      </c>
      <c r="F50" s="275">
        <f t="shared" si="2"/>
        <v>5.973</v>
      </c>
      <c r="G50" s="275">
        <v>5973</v>
      </c>
      <c r="H50" s="275">
        <f t="shared" si="3"/>
        <v>164.002</v>
      </c>
      <c r="I50" s="275">
        <v>164002</v>
      </c>
      <c r="J50" s="275">
        <f t="shared" si="4"/>
        <v>182.733</v>
      </c>
      <c r="K50" s="263">
        <f t="shared" si="0"/>
        <v>182733</v>
      </c>
    </row>
    <row r="51" spans="1:11" ht="12.75">
      <c r="A51" s="262">
        <v>38</v>
      </c>
      <c r="B51" s="364" t="s">
        <v>38</v>
      </c>
      <c r="C51" s="364"/>
      <c r="D51" s="275">
        <f t="shared" si="1"/>
        <v>5</v>
      </c>
      <c r="E51" s="275">
        <v>5000</v>
      </c>
      <c r="F51" s="275">
        <f t="shared" si="2"/>
        <v>3</v>
      </c>
      <c r="G51" s="275">
        <v>3000</v>
      </c>
      <c r="H51" s="275">
        <f t="shared" si="3"/>
        <v>70</v>
      </c>
      <c r="I51" s="275">
        <v>70000</v>
      </c>
      <c r="J51" s="275">
        <f t="shared" si="4"/>
        <v>78</v>
      </c>
      <c r="K51" s="263">
        <f t="shared" si="0"/>
        <v>78000</v>
      </c>
    </row>
    <row r="52" spans="1:11" ht="12.75">
      <c r="A52" s="262">
        <v>39</v>
      </c>
      <c r="B52" s="364" t="s">
        <v>39</v>
      </c>
      <c r="C52" s="364"/>
      <c r="D52" s="275">
        <f t="shared" si="1"/>
        <v>3.2</v>
      </c>
      <c r="E52" s="275">
        <v>3200</v>
      </c>
      <c r="F52" s="275">
        <f t="shared" si="2"/>
        <v>5.4</v>
      </c>
      <c r="G52" s="275">
        <v>5400</v>
      </c>
      <c r="H52" s="275">
        <f t="shared" si="3"/>
        <v>40.6</v>
      </c>
      <c r="I52" s="275">
        <v>40600</v>
      </c>
      <c r="J52" s="275">
        <f t="shared" si="4"/>
        <v>49.2</v>
      </c>
      <c r="K52" s="263">
        <f t="shared" si="0"/>
        <v>49200</v>
      </c>
    </row>
    <row r="53" spans="1:11" ht="12.75">
      <c r="A53" s="262">
        <v>40</v>
      </c>
      <c r="B53" s="364" t="s">
        <v>40</v>
      </c>
      <c r="C53" s="364"/>
      <c r="D53" s="275">
        <f t="shared" si="1"/>
        <v>5.705</v>
      </c>
      <c r="E53" s="275">
        <v>5705</v>
      </c>
      <c r="F53" s="275">
        <f t="shared" si="2"/>
        <v>2.568</v>
      </c>
      <c r="G53" s="275">
        <v>2568</v>
      </c>
      <c r="H53" s="275">
        <f t="shared" si="3"/>
        <v>65.727</v>
      </c>
      <c r="I53" s="275">
        <v>65727</v>
      </c>
      <c r="J53" s="275">
        <f t="shared" si="4"/>
        <v>74</v>
      </c>
      <c r="K53" s="263">
        <f t="shared" si="0"/>
        <v>74000</v>
      </c>
    </row>
    <row r="54" spans="1:11" ht="12.75">
      <c r="A54" s="262">
        <v>41</v>
      </c>
      <c r="B54" s="364" t="s">
        <v>41</v>
      </c>
      <c r="C54" s="364"/>
      <c r="D54" s="275">
        <f t="shared" si="1"/>
        <v>5.7</v>
      </c>
      <c r="E54" s="275">
        <v>5700</v>
      </c>
      <c r="F54" s="275">
        <f t="shared" si="2"/>
        <v>7</v>
      </c>
      <c r="G54" s="275">
        <v>7000</v>
      </c>
      <c r="H54" s="275">
        <f t="shared" si="3"/>
        <v>100</v>
      </c>
      <c r="I54" s="275">
        <v>100000</v>
      </c>
      <c r="J54" s="275">
        <f t="shared" si="4"/>
        <v>112.7</v>
      </c>
      <c r="K54" s="263">
        <f t="shared" si="0"/>
        <v>112700</v>
      </c>
    </row>
    <row r="55" spans="1:11" ht="12.75">
      <c r="A55" s="262">
        <v>42</v>
      </c>
      <c r="B55" s="364" t="s">
        <v>42</v>
      </c>
      <c r="C55" s="364"/>
      <c r="D55" s="275">
        <f t="shared" si="1"/>
        <v>11.5</v>
      </c>
      <c r="E55" s="275">
        <v>11500</v>
      </c>
      <c r="F55" s="275">
        <f t="shared" si="2"/>
        <v>8.5</v>
      </c>
      <c r="G55" s="275">
        <v>8500</v>
      </c>
      <c r="H55" s="275">
        <f t="shared" si="3"/>
        <v>127.4</v>
      </c>
      <c r="I55" s="275">
        <v>127400</v>
      </c>
      <c r="J55" s="275">
        <f t="shared" si="4"/>
        <v>147.4</v>
      </c>
      <c r="K55" s="263">
        <f t="shared" si="0"/>
        <v>147400</v>
      </c>
    </row>
    <row r="56" spans="1:11" ht="12.75">
      <c r="A56" s="262">
        <v>43</v>
      </c>
      <c r="B56" s="364" t="s">
        <v>43</v>
      </c>
      <c r="C56" s="364"/>
      <c r="D56" s="275">
        <f t="shared" si="1"/>
        <v>4.1</v>
      </c>
      <c r="E56" s="275">
        <v>4100</v>
      </c>
      <c r="F56" s="275">
        <f t="shared" si="2"/>
        <v>2.5</v>
      </c>
      <c r="G56" s="275">
        <v>2500</v>
      </c>
      <c r="H56" s="275">
        <f t="shared" si="3"/>
        <v>44.9</v>
      </c>
      <c r="I56" s="275">
        <v>44900</v>
      </c>
      <c r="J56" s="275">
        <f t="shared" si="4"/>
        <v>51.5</v>
      </c>
      <c r="K56" s="263">
        <f t="shared" si="0"/>
        <v>51500</v>
      </c>
    </row>
    <row r="57" spans="1:11" ht="12.75">
      <c r="A57" s="262">
        <v>44</v>
      </c>
      <c r="B57" s="364" t="s">
        <v>44</v>
      </c>
      <c r="C57" s="364"/>
      <c r="D57" s="275">
        <f t="shared" si="1"/>
        <v>2</v>
      </c>
      <c r="E57" s="275">
        <v>2000</v>
      </c>
      <c r="F57" s="275">
        <f t="shared" si="2"/>
        <v>2</v>
      </c>
      <c r="G57" s="275">
        <v>2000</v>
      </c>
      <c r="H57" s="275">
        <f t="shared" si="3"/>
        <v>20</v>
      </c>
      <c r="I57" s="275">
        <v>20000</v>
      </c>
      <c r="J57" s="275">
        <f t="shared" si="4"/>
        <v>24</v>
      </c>
      <c r="K57" s="263">
        <f t="shared" si="0"/>
        <v>24000</v>
      </c>
    </row>
    <row r="58" spans="1:11" ht="12.75">
      <c r="A58" s="262">
        <v>45</v>
      </c>
      <c r="B58" s="364" t="s">
        <v>45</v>
      </c>
      <c r="C58" s="364"/>
      <c r="D58" s="275">
        <f t="shared" si="1"/>
        <v>3.283</v>
      </c>
      <c r="E58" s="275">
        <v>3283</v>
      </c>
      <c r="F58" s="275">
        <f t="shared" si="2"/>
        <v>2.5</v>
      </c>
      <c r="G58" s="275">
        <v>2500</v>
      </c>
      <c r="H58" s="275">
        <f t="shared" si="3"/>
        <v>31</v>
      </c>
      <c r="I58" s="275">
        <v>31000</v>
      </c>
      <c r="J58" s="275">
        <f t="shared" si="4"/>
        <v>36.783</v>
      </c>
      <c r="K58" s="263">
        <f t="shared" si="0"/>
        <v>36783</v>
      </c>
    </row>
    <row r="59" spans="1:11" s="267" customFormat="1" ht="12.75">
      <c r="A59" s="366" t="s">
        <v>46</v>
      </c>
      <c r="B59" s="366"/>
      <c r="C59" s="366"/>
      <c r="D59" s="277">
        <f t="shared" si="1"/>
        <v>79.788</v>
      </c>
      <c r="E59" s="278">
        <f>SUM(E42:E58)</f>
        <v>79788</v>
      </c>
      <c r="F59" s="277">
        <f t="shared" si="2"/>
        <v>58.904</v>
      </c>
      <c r="G59" s="278">
        <f>SUM(G42:G58)</f>
        <v>58904</v>
      </c>
      <c r="H59" s="277">
        <f t="shared" si="3"/>
        <v>1050.406</v>
      </c>
      <c r="I59" s="278">
        <f>SUM(I42:I58)</f>
        <v>1050406</v>
      </c>
      <c r="J59" s="277">
        <f t="shared" si="4"/>
        <v>1189.098</v>
      </c>
      <c r="K59" s="263">
        <f t="shared" si="0"/>
        <v>1189098</v>
      </c>
    </row>
    <row r="60" spans="1:11" s="267" customFormat="1" ht="12.75">
      <c r="A60" s="366" t="s">
        <v>451</v>
      </c>
      <c r="B60" s="366"/>
      <c r="C60" s="366"/>
      <c r="D60" s="277">
        <f t="shared" si="1"/>
        <v>624.679</v>
      </c>
      <c r="E60" s="278">
        <f>E59+E41</f>
        <v>624679</v>
      </c>
      <c r="F60" s="277">
        <f t="shared" si="2"/>
        <v>858.335</v>
      </c>
      <c r="G60" s="278">
        <f>G59+G41</f>
        <v>858335</v>
      </c>
      <c r="H60" s="277">
        <f t="shared" si="3"/>
        <v>6771.728</v>
      </c>
      <c r="I60" s="278">
        <f>I59+I41</f>
        <v>6771728</v>
      </c>
      <c r="J60" s="277">
        <f t="shared" si="4"/>
        <v>8254.742</v>
      </c>
      <c r="K60" s="263">
        <f t="shared" si="0"/>
        <v>8254742</v>
      </c>
    </row>
    <row r="61" spans="1:11" ht="12.75">
      <c r="A61" s="264"/>
      <c r="B61" s="264"/>
      <c r="C61" s="264"/>
      <c r="D61" s="264"/>
      <c r="E61" s="265"/>
      <c r="F61" s="265"/>
      <c r="G61" s="265"/>
      <c r="H61" s="265"/>
      <c r="I61" s="265"/>
      <c r="J61" s="265"/>
      <c r="K61" s="265"/>
    </row>
    <row r="62" spans="1:11" ht="12.75">
      <c r="A62" s="264"/>
      <c r="B62" s="264"/>
      <c r="C62" s="264"/>
      <c r="D62" s="264"/>
      <c r="E62" s="265"/>
      <c r="F62" s="265"/>
      <c r="G62" s="265"/>
      <c r="H62" s="265"/>
      <c r="I62" s="265"/>
      <c r="J62" s="265"/>
      <c r="K62" s="265"/>
    </row>
    <row r="64" spans="3:4" ht="12.75">
      <c r="C64" s="261"/>
      <c r="D64" s="261"/>
    </row>
    <row r="65" spans="3:4" ht="12.75">
      <c r="C65" s="261"/>
      <c r="D65" s="261"/>
    </row>
  </sheetData>
  <mergeCells count="61">
    <mergeCell ref="F11:F12"/>
    <mergeCell ref="H2:J2"/>
    <mergeCell ref="D10:I10"/>
    <mergeCell ref="D9:K9"/>
    <mergeCell ref="A6:J6"/>
    <mergeCell ref="A9:A12"/>
    <mergeCell ref="B9:C9"/>
    <mergeCell ref="B10:C10"/>
    <mergeCell ref="J10:J12"/>
    <mergeCell ref="H11:H12"/>
    <mergeCell ref="G1:L1"/>
    <mergeCell ref="G3:L3"/>
    <mergeCell ref="B57:C57"/>
    <mergeCell ref="B58:C58"/>
    <mergeCell ref="B49:C49"/>
    <mergeCell ref="B50:C50"/>
    <mergeCell ref="B51:C51"/>
    <mergeCell ref="B52:C52"/>
    <mergeCell ref="B45:C45"/>
    <mergeCell ref="B46:C46"/>
    <mergeCell ref="A59:C59"/>
    <mergeCell ref="A60:C60"/>
    <mergeCell ref="B53:C53"/>
    <mergeCell ref="B54:C54"/>
    <mergeCell ref="B55:C55"/>
    <mergeCell ref="B56:C56"/>
    <mergeCell ref="B40:C40"/>
    <mergeCell ref="B47:C47"/>
    <mergeCell ref="B48:C48"/>
    <mergeCell ref="A41:C41"/>
    <mergeCell ref="B42:C42"/>
    <mergeCell ref="B43:C43"/>
    <mergeCell ref="B44:C44"/>
    <mergeCell ref="B36:C36"/>
    <mergeCell ref="B37:C37"/>
    <mergeCell ref="B38:C38"/>
    <mergeCell ref="B39:C39"/>
    <mergeCell ref="B32:C32"/>
    <mergeCell ref="B33:C33"/>
    <mergeCell ref="B34:C34"/>
    <mergeCell ref="B35:C35"/>
    <mergeCell ref="B28:C28"/>
    <mergeCell ref="B29:C29"/>
    <mergeCell ref="B30:C30"/>
    <mergeCell ref="B31:C31"/>
    <mergeCell ref="B24:C24"/>
    <mergeCell ref="B25:C25"/>
    <mergeCell ref="B26:C26"/>
    <mergeCell ref="B27:C27"/>
    <mergeCell ref="B20:C20"/>
    <mergeCell ref="B21:C21"/>
    <mergeCell ref="B22:C22"/>
    <mergeCell ref="B23:C23"/>
    <mergeCell ref="B16:C16"/>
    <mergeCell ref="B17:C17"/>
    <mergeCell ref="B18:C18"/>
    <mergeCell ref="B19:C19"/>
    <mergeCell ref="D11:D12"/>
    <mergeCell ref="B13:C13"/>
    <mergeCell ref="B14:C14"/>
    <mergeCell ref="B15:C15"/>
  </mergeCells>
  <printOptions/>
  <pageMargins left="0.86" right="0.7874015748031497" top="0.3937007874015748" bottom="0.3937007874015748" header="0.5118110236220472" footer="0.5118110236220472"/>
  <pageSetup horizontalDpi="600" verticalDpi="600" orientation="portrait" paperSize="9" scale="93"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Brat</dc:creator>
  <cp:keywords/>
  <dc:description/>
  <cp:lastModifiedBy>turlo</cp:lastModifiedBy>
  <cp:lastPrinted>2005-03-15T09:50:59Z</cp:lastPrinted>
  <dcterms:created xsi:type="dcterms:W3CDTF">2003-12-10T21:35:36Z</dcterms:created>
  <dcterms:modified xsi:type="dcterms:W3CDTF">2005-03-15T09:51:46Z</dcterms:modified>
  <cp:category/>
  <cp:version/>
  <cp:contentType/>
  <cp:contentStatus/>
</cp:coreProperties>
</file>